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64011"/>
  <bookViews>
    <workbookView xWindow="0" yWindow="0" windowWidth="28800" windowHeight="12300" tabRatio="867"/>
  </bookViews>
  <sheets>
    <sheet name="AAA Summary" sheetId="15" r:id="rId1"/>
    <sheet name="Elective Infra-Renal AAA Repair" sheetId="36" state="hidden" r:id="rId2"/>
    <sheet name="LL Revascularisation Summary" sheetId="34" r:id="rId3"/>
    <sheet name="AAA 2021 Report" sheetId="29" state="hidden" r:id="rId4"/>
    <sheet name="AAA 2020 Report" sheetId="3" state="hidden" r:id="rId5"/>
    <sheet name="LL Revasc Data" sheetId="35" state="hidden" r:id="rId6"/>
    <sheet name="Angioplasty Summary" sheetId="23" r:id="rId7"/>
    <sheet name="Bypass Summary" sheetId="21" r:id="rId8"/>
    <sheet name="Amputation Summary" sheetId="25" r:id="rId9"/>
    <sheet name="CEA Summary" sheetId="12" r:id="rId10"/>
    <sheet name="Lower Limb Bypass" sheetId="33" state="hidden" r:id="rId11"/>
    <sheet name="Lower Limb Angioplasty" sheetId="32" state="hidden" r:id="rId12"/>
    <sheet name="Major Lower Limb Amputation" sheetId="31" state="hidden" r:id="rId13"/>
    <sheet name="Amp Funnel" sheetId="26" state="hidden" r:id="rId14"/>
    <sheet name="Bypass Funnel" sheetId="22" state="hidden" r:id="rId15"/>
    <sheet name="Angio Funnel" sheetId="24" state="hidden" r:id="rId16"/>
    <sheet name="Carotid Endarterectomy" sheetId="30" state="hidden" r:id="rId17"/>
    <sheet name="CEA Limits" sheetId="13" state="hidden" r:id="rId18"/>
    <sheet name="CEA Funnel" sheetId="14" state="hidden" r:id="rId19"/>
    <sheet name="AAA Limits" sheetId="17" state="hidden" r:id="rId20"/>
    <sheet name="AAA Funnel" sheetId="18" state="hidden" r:id="rId21"/>
  </sheets>
  <externalReferences>
    <externalReference r:id="rId22"/>
  </externalReferences>
  <definedNames>
    <definedName name="_xlnm._FilterDatabase" localSheetId="4" hidden="1">'AAA 2020 Report'!$A$7:$O$82</definedName>
    <definedName name="_xlnm._FilterDatabase" localSheetId="1" hidden="1">'Elective Infra-Renal AAA Repair'!$A$7:$AM$77</definedName>
    <definedName name="_xlnm._FilterDatabase" localSheetId="5" hidden="1">'LL Revasc Data'!$J$1:$AB$85</definedName>
    <definedName name="_xlnm._FilterDatabase" localSheetId="11" hidden="1">'Lower Limb Angioplasty'!$A$1:$R$94</definedName>
    <definedName name="_xlnm._FilterDatabase" localSheetId="10" hidden="1">'Lower Limb Bypass'!$A$1:$K$71</definedName>
    <definedName name="_xlnm._FilterDatabase" localSheetId="12" hidden="1">'Major Lower Limb Amputation'!$A$7:$AM$76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35" l="1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2" i="35"/>
  <c r="T3" i="35"/>
  <c r="T4" i="35"/>
  <c r="T5" i="35"/>
  <c r="T6" i="35"/>
  <c r="T7" i="35"/>
  <c r="T8" i="35"/>
  <c r="T9" i="35"/>
  <c r="T10" i="35"/>
  <c r="T11" i="35"/>
  <c r="T12" i="35"/>
  <c r="T13" i="35"/>
  <c r="T14" i="35"/>
  <c r="T15" i="35"/>
  <c r="T16" i="35"/>
  <c r="T17" i="35"/>
  <c r="T18" i="35"/>
  <c r="T19" i="35"/>
  <c r="T20" i="35"/>
  <c r="T21" i="35"/>
  <c r="T22" i="35"/>
  <c r="T23" i="35"/>
  <c r="T24" i="35"/>
  <c r="T25" i="35"/>
  <c r="T26" i="35"/>
  <c r="T27" i="35"/>
  <c r="T28" i="35"/>
  <c r="T29" i="35"/>
  <c r="T30" i="35"/>
  <c r="T31" i="35"/>
  <c r="T32" i="35"/>
  <c r="T33" i="35"/>
  <c r="T34" i="35"/>
  <c r="T35" i="35"/>
  <c r="T36" i="35"/>
  <c r="T37" i="35"/>
  <c r="T38" i="35"/>
  <c r="T39" i="35"/>
  <c r="T40" i="35"/>
  <c r="T41" i="35"/>
  <c r="T42" i="35"/>
  <c r="T43" i="35"/>
  <c r="T44" i="35"/>
  <c r="T45" i="35"/>
  <c r="T46" i="35"/>
  <c r="T47" i="35"/>
  <c r="T48" i="35"/>
  <c r="T49" i="35"/>
  <c r="T50" i="35"/>
  <c r="T51" i="35"/>
  <c r="T52" i="35"/>
  <c r="T53" i="35"/>
  <c r="T54" i="35"/>
  <c r="T55" i="35"/>
  <c r="T56" i="35"/>
  <c r="T57" i="35"/>
  <c r="T58" i="35"/>
  <c r="T59" i="35"/>
  <c r="T60" i="35"/>
  <c r="T61" i="35"/>
  <c r="T62" i="35"/>
  <c r="T63" i="35"/>
  <c r="T64" i="35"/>
  <c r="T65" i="35"/>
  <c r="T66" i="35"/>
  <c r="T67" i="35"/>
  <c r="T68" i="35"/>
  <c r="T69" i="35"/>
  <c r="T70" i="35"/>
  <c r="T71" i="35"/>
  <c r="T72" i="35"/>
  <c r="T73" i="35"/>
  <c r="T74" i="35"/>
  <c r="T75" i="35"/>
  <c r="T76" i="35"/>
  <c r="T77" i="35"/>
  <c r="T78" i="35"/>
  <c r="T79" i="35"/>
  <c r="T80" i="35"/>
  <c r="T81" i="35"/>
  <c r="T82" i="35"/>
  <c r="T83" i="35"/>
  <c r="T84" i="35"/>
  <c r="T85" i="35"/>
  <c r="T86" i="35"/>
  <c r="T87" i="35"/>
  <c r="T88" i="35"/>
  <c r="T89" i="35"/>
  <c r="T90" i="35"/>
  <c r="T91" i="35"/>
  <c r="T92" i="35"/>
  <c r="T93" i="35"/>
  <c r="T94" i="35"/>
  <c r="T2" i="35"/>
  <c r="AM9" i="36"/>
  <c r="AM10" i="36"/>
  <c r="AM11" i="36"/>
  <c r="AM12" i="36"/>
  <c r="AM13" i="36"/>
  <c r="AM14" i="36"/>
  <c r="AM15" i="36"/>
  <c r="AM16" i="36"/>
  <c r="AM17" i="36"/>
  <c r="AM18" i="36"/>
  <c r="AM19" i="36"/>
  <c r="AM20" i="36"/>
  <c r="AM21" i="36"/>
  <c r="AM22" i="36"/>
  <c r="AM23" i="36"/>
  <c r="AM24" i="36"/>
  <c r="AM25" i="36"/>
  <c r="AM26" i="36"/>
  <c r="AM27" i="36"/>
  <c r="AM28" i="36"/>
  <c r="AM29" i="36"/>
  <c r="AM30" i="36"/>
  <c r="AM31" i="36"/>
  <c r="AM32" i="36"/>
  <c r="AM33" i="36"/>
  <c r="AM34" i="36"/>
  <c r="AM35" i="36"/>
  <c r="AM36" i="36"/>
  <c r="AM37" i="36"/>
  <c r="AM38" i="36"/>
  <c r="AM39" i="36"/>
  <c r="AM40" i="36"/>
  <c r="AM41" i="36"/>
  <c r="AM42" i="36"/>
  <c r="AM43" i="36"/>
  <c r="AM44" i="36"/>
  <c r="AM45" i="36"/>
  <c r="AM46" i="36"/>
  <c r="AM47" i="36"/>
  <c r="AM48" i="36"/>
  <c r="AM49" i="36"/>
  <c r="AM50" i="36"/>
  <c r="AM51" i="36"/>
  <c r="AM52" i="36"/>
  <c r="AM53" i="36"/>
  <c r="AM54" i="36"/>
  <c r="AM55" i="36"/>
  <c r="AM56" i="36"/>
  <c r="AM57" i="36"/>
  <c r="AM58" i="36"/>
  <c r="AM59" i="36"/>
  <c r="AM60" i="36"/>
  <c r="AM61" i="36"/>
  <c r="AM62" i="36"/>
  <c r="AM63" i="36"/>
  <c r="AM64" i="36"/>
  <c r="AM65" i="36"/>
  <c r="AM66" i="36"/>
  <c r="AM67" i="36"/>
  <c r="AM68" i="36"/>
  <c r="AM69" i="36"/>
  <c r="AM70" i="36"/>
  <c r="AM71" i="36"/>
  <c r="AM72" i="36"/>
  <c r="AM73" i="36"/>
  <c r="AM74" i="36"/>
  <c r="AM75" i="36"/>
  <c r="AM76" i="36"/>
  <c r="AM77" i="36"/>
  <c r="AM8" i="36"/>
  <c r="AL9" i="36"/>
  <c r="AL10" i="36"/>
  <c r="AL11" i="36"/>
  <c r="AL12" i="36"/>
  <c r="AL13" i="36"/>
  <c r="AL14" i="36"/>
  <c r="AL15" i="36"/>
  <c r="AL16" i="36"/>
  <c r="AL17" i="36"/>
  <c r="AL18" i="36"/>
  <c r="AL19" i="36"/>
  <c r="AL20" i="36"/>
  <c r="AL21" i="36"/>
  <c r="AL22" i="36"/>
  <c r="AL23" i="36"/>
  <c r="AL24" i="36"/>
  <c r="AL25" i="36"/>
  <c r="AL26" i="36"/>
  <c r="AL27" i="36"/>
  <c r="AL28" i="36"/>
  <c r="AL29" i="36"/>
  <c r="AL30" i="36"/>
  <c r="AL31" i="36"/>
  <c r="AL32" i="36"/>
  <c r="AL33" i="36"/>
  <c r="AL34" i="36"/>
  <c r="AL35" i="36"/>
  <c r="AL36" i="36"/>
  <c r="AL37" i="36"/>
  <c r="AL38" i="36"/>
  <c r="AL39" i="36"/>
  <c r="AL40" i="36"/>
  <c r="AL41" i="36"/>
  <c r="AL42" i="36"/>
  <c r="AL43" i="36"/>
  <c r="AL44" i="36"/>
  <c r="AL45" i="36"/>
  <c r="AL46" i="36"/>
  <c r="AL47" i="36"/>
  <c r="AL48" i="36"/>
  <c r="AL49" i="36"/>
  <c r="AL50" i="36"/>
  <c r="AL51" i="36"/>
  <c r="AL52" i="36"/>
  <c r="AL53" i="36"/>
  <c r="AL54" i="36"/>
  <c r="AL55" i="36"/>
  <c r="AL56" i="36"/>
  <c r="AL57" i="36"/>
  <c r="AL58" i="36"/>
  <c r="AL59" i="36"/>
  <c r="AL60" i="36"/>
  <c r="AL61" i="36"/>
  <c r="AL62" i="36"/>
  <c r="AL63" i="36"/>
  <c r="AL64" i="36"/>
  <c r="AL65" i="36"/>
  <c r="AL66" i="36"/>
  <c r="AL67" i="36"/>
  <c r="AL68" i="36"/>
  <c r="AL69" i="36"/>
  <c r="AL70" i="36"/>
  <c r="AL71" i="36"/>
  <c r="AL72" i="36"/>
  <c r="AL73" i="36"/>
  <c r="AL74" i="36"/>
  <c r="AL75" i="36"/>
  <c r="AL76" i="36"/>
  <c r="AL77" i="36"/>
  <c r="AL8" i="36"/>
  <c r="AG9" i="36"/>
  <c r="AG10" i="36"/>
  <c r="AG11" i="36"/>
  <c r="AG12" i="36"/>
  <c r="AG13" i="36"/>
  <c r="AG14" i="36"/>
  <c r="AG15" i="36"/>
  <c r="AG16" i="36"/>
  <c r="AG17" i="36"/>
  <c r="AG18" i="36"/>
  <c r="AG19" i="36"/>
  <c r="AG20" i="36"/>
  <c r="AG21" i="36"/>
  <c r="AG22" i="36"/>
  <c r="AG23" i="36"/>
  <c r="AG24" i="36"/>
  <c r="AG25" i="36"/>
  <c r="AG26" i="36"/>
  <c r="AG27" i="36"/>
  <c r="AG28" i="36"/>
  <c r="AG29" i="36"/>
  <c r="AG30" i="36"/>
  <c r="AG31" i="36"/>
  <c r="AG32" i="36"/>
  <c r="AG33" i="36"/>
  <c r="AG34" i="36"/>
  <c r="AG35" i="36"/>
  <c r="AG36" i="36"/>
  <c r="AG37" i="36"/>
  <c r="AG38" i="36"/>
  <c r="AG39" i="36"/>
  <c r="AG40" i="36"/>
  <c r="AG41" i="36"/>
  <c r="AG42" i="36"/>
  <c r="AG43" i="36"/>
  <c r="AG44" i="36"/>
  <c r="AG45" i="36"/>
  <c r="AG46" i="36"/>
  <c r="AG47" i="36"/>
  <c r="AG48" i="36"/>
  <c r="AG49" i="36"/>
  <c r="AG50" i="36"/>
  <c r="AG51" i="36"/>
  <c r="AG52" i="36"/>
  <c r="AG53" i="36"/>
  <c r="AG54" i="36"/>
  <c r="AG55" i="36"/>
  <c r="AG56" i="36"/>
  <c r="AG57" i="36"/>
  <c r="AG58" i="36"/>
  <c r="AG59" i="36"/>
  <c r="AG60" i="36"/>
  <c r="AG61" i="36"/>
  <c r="AG62" i="36"/>
  <c r="AG63" i="36"/>
  <c r="AG64" i="36"/>
  <c r="AG65" i="36"/>
  <c r="AG66" i="36"/>
  <c r="AG67" i="36"/>
  <c r="AG68" i="36"/>
  <c r="AG69" i="36"/>
  <c r="AG70" i="36"/>
  <c r="AG71" i="36"/>
  <c r="AG72" i="36"/>
  <c r="AG73" i="36"/>
  <c r="AG74" i="36"/>
  <c r="AG75" i="36"/>
  <c r="AG76" i="36"/>
  <c r="AG77" i="36"/>
  <c r="AG8" i="36"/>
  <c r="AF9" i="36"/>
  <c r="AF10" i="36"/>
  <c r="AF11" i="36"/>
  <c r="AF12" i="36"/>
  <c r="AF13" i="36"/>
  <c r="AF14" i="36"/>
  <c r="AF15" i="36"/>
  <c r="AF16" i="36"/>
  <c r="AF17" i="36"/>
  <c r="AF18" i="36"/>
  <c r="AF19" i="36"/>
  <c r="AF20" i="36"/>
  <c r="AF21" i="36"/>
  <c r="AF22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1" i="36"/>
  <c r="AF42" i="36"/>
  <c r="AF43" i="36"/>
  <c r="AF44" i="36"/>
  <c r="AF45" i="36"/>
  <c r="AF46" i="36"/>
  <c r="AF47" i="36"/>
  <c r="AF48" i="36"/>
  <c r="AF49" i="36"/>
  <c r="AF50" i="36"/>
  <c r="AF51" i="36"/>
  <c r="AF52" i="36"/>
  <c r="AF53" i="36"/>
  <c r="AF54" i="36"/>
  <c r="AF55" i="36"/>
  <c r="AF56" i="36"/>
  <c r="AF57" i="36"/>
  <c r="AF58" i="36"/>
  <c r="AF59" i="36"/>
  <c r="AF60" i="36"/>
  <c r="AF61" i="36"/>
  <c r="AF62" i="36"/>
  <c r="AF63" i="36"/>
  <c r="AF64" i="36"/>
  <c r="AF65" i="36"/>
  <c r="AF66" i="36"/>
  <c r="AF67" i="36"/>
  <c r="AF68" i="36"/>
  <c r="AF69" i="36"/>
  <c r="AF70" i="36"/>
  <c r="AF71" i="36"/>
  <c r="AF72" i="36"/>
  <c r="AF73" i="36"/>
  <c r="AF74" i="36"/>
  <c r="AF75" i="36"/>
  <c r="AF76" i="36"/>
  <c r="AF77" i="36"/>
  <c r="AF8" i="36"/>
  <c r="AA9" i="36" l="1"/>
  <c r="AA10" i="36"/>
  <c r="AA11" i="36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1" i="36"/>
  <c r="AA42" i="36"/>
  <c r="AA43" i="36"/>
  <c r="AA44" i="36"/>
  <c r="AA45" i="36"/>
  <c r="AA46" i="36"/>
  <c r="AA47" i="36"/>
  <c r="AA48" i="36"/>
  <c r="AA49" i="36"/>
  <c r="AA50" i="36"/>
  <c r="AA51" i="36"/>
  <c r="AA52" i="36"/>
  <c r="AA53" i="36"/>
  <c r="AA54" i="36"/>
  <c r="AA55" i="36"/>
  <c r="AA56" i="36"/>
  <c r="AA57" i="36"/>
  <c r="AA58" i="36"/>
  <c r="AA59" i="36"/>
  <c r="AA60" i="36"/>
  <c r="AA61" i="36"/>
  <c r="AA62" i="36"/>
  <c r="AA63" i="36"/>
  <c r="AA64" i="36"/>
  <c r="AA65" i="36"/>
  <c r="AA66" i="36"/>
  <c r="AA67" i="36"/>
  <c r="AA68" i="36"/>
  <c r="AA69" i="36"/>
  <c r="AA70" i="36"/>
  <c r="AA71" i="36"/>
  <c r="AA72" i="36"/>
  <c r="AA73" i="36"/>
  <c r="AA74" i="36"/>
  <c r="AA75" i="36"/>
  <c r="AA76" i="36"/>
  <c r="AA77" i="36"/>
  <c r="AA8" i="36"/>
  <c r="W9" i="36"/>
  <c r="Z9" i="36" s="1"/>
  <c r="W10" i="36"/>
  <c r="Z10" i="36" s="1"/>
  <c r="W11" i="36"/>
  <c r="Z11" i="36" s="1"/>
  <c r="W12" i="36"/>
  <c r="Z12" i="36" s="1"/>
  <c r="W13" i="36"/>
  <c r="Z13" i="36" s="1"/>
  <c r="W14" i="36"/>
  <c r="Z14" i="36" s="1"/>
  <c r="W15" i="36"/>
  <c r="Z15" i="36" s="1"/>
  <c r="W16" i="36"/>
  <c r="Z16" i="36" s="1"/>
  <c r="W17" i="36"/>
  <c r="Z17" i="36" s="1"/>
  <c r="W18" i="36"/>
  <c r="Z18" i="36" s="1"/>
  <c r="W19" i="36"/>
  <c r="Z19" i="36" s="1"/>
  <c r="W20" i="36"/>
  <c r="Z20" i="36" s="1"/>
  <c r="W21" i="36"/>
  <c r="Z21" i="36" s="1"/>
  <c r="W22" i="36"/>
  <c r="Z22" i="36" s="1"/>
  <c r="W23" i="36"/>
  <c r="Z23" i="36" s="1"/>
  <c r="W24" i="36"/>
  <c r="Z24" i="36" s="1"/>
  <c r="W25" i="36"/>
  <c r="Z25" i="36" s="1"/>
  <c r="W26" i="36"/>
  <c r="Z26" i="36" s="1"/>
  <c r="W27" i="36"/>
  <c r="Z27" i="36" s="1"/>
  <c r="W28" i="36"/>
  <c r="Z28" i="36" s="1"/>
  <c r="W29" i="36"/>
  <c r="Z29" i="36" s="1"/>
  <c r="W30" i="36"/>
  <c r="Z30" i="36" s="1"/>
  <c r="W31" i="36"/>
  <c r="Z31" i="36" s="1"/>
  <c r="W32" i="36"/>
  <c r="Z32" i="36" s="1"/>
  <c r="W33" i="36"/>
  <c r="Z33" i="36" s="1"/>
  <c r="W34" i="36"/>
  <c r="Z34" i="36" s="1"/>
  <c r="W35" i="36"/>
  <c r="Z35" i="36" s="1"/>
  <c r="W36" i="36"/>
  <c r="Z36" i="36" s="1"/>
  <c r="W37" i="36"/>
  <c r="Z37" i="36" s="1"/>
  <c r="W38" i="36"/>
  <c r="Z38" i="36" s="1"/>
  <c r="W39" i="36"/>
  <c r="Z39" i="36" s="1"/>
  <c r="W40" i="36"/>
  <c r="Z40" i="36" s="1"/>
  <c r="W41" i="36"/>
  <c r="Z41" i="36" s="1"/>
  <c r="W42" i="36"/>
  <c r="Z42" i="36" s="1"/>
  <c r="W43" i="36"/>
  <c r="Z43" i="36" s="1"/>
  <c r="W44" i="36"/>
  <c r="Z44" i="36" s="1"/>
  <c r="W45" i="36"/>
  <c r="Z45" i="36" s="1"/>
  <c r="W46" i="36"/>
  <c r="Z46" i="36" s="1"/>
  <c r="W47" i="36"/>
  <c r="Z47" i="36" s="1"/>
  <c r="W48" i="36"/>
  <c r="Z48" i="36" s="1"/>
  <c r="W49" i="36"/>
  <c r="Z49" i="36" s="1"/>
  <c r="W50" i="36"/>
  <c r="Z50" i="36" s="1"/>
  <c r="W51" i="36"/>
  <c r="Z51" i="36" s="1"/>
  <c r="W52" i="36"/>
  <c r="Z52" i="36" s="1"/>
  <c r="W53" i="36"/>
  <c r="Z53" i="36" s="1"/>
  <c r="W54" i="36"/>
  <c r="Z54" i="36" s="1"/>
  <c r="W55" i="36"/>
  <c r="Z55" i="36" s="1"/>
  <c r="W56" i="36"/>
  <c r="Z56" i="36" s="1"/>
  <c r="W57" i="36"/>
  <c r="Z57" i="36" s="1"/>
  <c r="W58" i="36"/>
  <c r="Z58" i="36" s="1"/>
  <c r="W59" i="36"/>
  <c r="Z59" i="36" s="1"/>
  <c r="W60" i="36"/>
  <c r="Z60" i="36" s="1"/>
  <c r="W61" i="36"/>
  <c r="Z61" i="36" s="1"/>
  <c r="W62" i="36"/>
  <c r="Z62" i="36" s="1"/>
  <c r="W63" i="36"/>
  <c r="Z63" i="36" s="1"/>
  <c r="W64" i="36"/>
  <c r="Z64" i="36" s="1"/>
  <c r="W65" i="36"/>
  <c r="Z65" i="36" s="1"/>
  <c r="W66" i="36"/>
  <c r="Z66" i="36" s="1"/>
  <c r="W67" i="36"/>
  <c r="Z67" i="36" s="1"/>
  <c r="W68" i="36"/>
  <c r="Z68" i="36" s="1"/>
  <c r="W69" i="36"/>
  <c r="Z69" i="36" s="1"/>
  <c r="W70" i="36"/>
  <c r="Z70" i="36" s="1"/>
  <c r="W71" i="36"/>
  <c r="Z71" i="36" s="1"/>
  <c r="W72" i="36"/>
  <c r="Z72" i="36" s="1"/>
  <c r="W73" i="36"/>
  <c r="Z73" i="36" s="1"/>
  <c r="W74" i="36"/>
  <c r="Z74" i="36" s="1"/>
  <c r="W75" i="36"/>
  <c r="Z75" i="36" s="1"/>
  <c r="W76" i="36"/>
  <c r="Z76" i="36" s="1"/>
  <c r="W77" i="36"/>
  <c r="Z77" i="36" s="1"/>
  <c r="W8" i="36"/>
  <c r="Z8" i="36" s="1"/>
  <c r="V10" i="30" l="1"/>
  <c r="V28" i="30"/>
  <c r="V3" i="30"/>
  <c r="V4" i="30"/>
  <c r="V5" i="30"/>
  <c r="V6" i="30"/>
  <c r="V7" i="30"/>
  <c r="V8" i="30"/>
  <c r="V9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9" i="30"/>
  <c r="V30" i="30"/>
  <c r="V31" i="30"/>
  <c r="V32" i="30"/>
  <c r="V33" i="30"/>
  <c r="V34" i="30"/>
  <c r="V35" i="30"/>
  <c r="V36" i="30"/>
  <c r="V37" i="30"/>
  <c r="V38" i="30"/>
  <c r="V39" i="30"/>
  <c r="V40" i="30"/>
  <c r="V41" i="30"/>
  <c r="V42" i="30"/>
  <c r="V43" i="30"/>
  <c r="V44" i="30"/>
  <c r="V45" i="30"/>
  <c r="V46" i="30"/>
  <c r="V47" i="30"/>
  <c r="V48" i="30"/>
  <c r="V49" i="30"/>
  <c r="V50" i="30"/>
  <c r="V51" i="30"/>
  <c r="V52" i="30"/>
  <c r="V53" i="30"/>
  <c r="V54" i="30"/>
  <c r="V55" i="30"/>
  <c r="V56" i="30"/>
  <c r="V57" i="30"/>
  <c r="V58" i="30"/>
  <c r="V59" i="30"/>
  <c r="V60" i="30"/>
  <c r="V61" i="30"/>
  <c r="V62" i="30"/>
  <c r="V63" i="30"/>
  <c r="V64" i="30"/>
  <c r="V65" i="30"/>
  <c r="V66" i="30"/>
  <c r="V67" i="30"/>
  <c r="V68" i="30"/>
  <c r="V69" i="30"/>
  <c r="V70" i="30"/>
  <c r="V71" i="30"/>
  <c r="V2" i="30"/>
  <c r="AD6" i="25" l="1"/>
  <c r="AC6" i="25"/>
  <c r="AB6" i="25"/>
  <c r="AA6" i="25"/>
  <c r="C29" i="25" l="1"/>
  <c r="J29" i="25"/>
  <c r="I29" i="25"/>
  <c r="H29" i="25"/>
  <c r="AD2" i="25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8" i="31"/>
  <c r="F29" i="25" l="1"/>
  <c r="G29" i="25"/>
  <c r="O4" i="25"/>
  <c r="AG53" i="31" l="1"/>
  <c r="AG8" i="31"/>
  <c r="AA2" i="25" s="1"/>
  <c r="AG74" i="31"/>
  <c r="AG10" i="31"/>
  <c r="AG14" i="31"/>
  <c r="AG18" i="31"/>
  <c r="AG22" i="31"/>
  <c r="AG26" i="31"/>
  <c r="AG30" i="31"/>
  <c r="AG34" i="31"/>
  <c r="AG38" i="31"/>
  <c r="AG42" i="31"/>
  <c r="AG46" i="31"/>
  <c r="AG50" i="31"/>
  <c r="AG54" i="31"/>
  <c r="AG58" i="31"/>
  <c r="AG62" i="31"/>
  <c r="AG70" i="31"/>
  <c r="AG11" i="31"/>
  <c r="AG15" i="31"/>
  <c r="AG19" i="31"/>
  <c r="AG23" i="31"/>
  <c r="AG27" i="31"/>
  <c r="AG31" i="31"/>
  <c r="AG35" i="31"/>
  <c r="AG39" i="31"/>
  <c r="AG43" i="31"/>
  <c r="AG47" i="31"/>
  <c r="AG51" i="31"/>
  <c r="AG55" i="31"/>
  <c r="AG59" i="31"/>
  <c r="AG63" i="31"/>
  <c r="AG67" i="31"/>
  <c r="AG71" i="31"/>
  <c r="AG75" i="31"/>
  <c r="AG12" i="31"/>
  <c r="AG16" i="31"/>
  <c r="AG20" i="31"/>
  <c r="AG24" i="31"/>
  <c r="AG28" i="31"/>
  <c r="AG32" i="31"/>
  <c r="AG36" i="31"/>
  <c r="AG40" i="31"/>
  <c r="AG44" i="31"/>
  <c r="AG48" i="31"/>
  <c r="AG52" i="31"/>
  <c r="AG56" i="31"/>
  <c r="AG60" i="31"/>
  <c r="AG64" i="31"/>
  <c r="AG68" i="31"/>
  <c r="AG72" i="31"/>
  <c r="AG76" i="31"/>
  <c r="AG9" i="31"/>
  <c r="AG13" i="31"/>
  <c r="AG17" i="31"/>
  <c r="AG21" i="31"/>
  <c r="AG25" i="31"/>
  <c r="AG29" i="31"/>
  <c r="AG33" i="31"/>
  <c r="AG37" i="31"/>
  <c r="AG41" i="31"/>
  <c r="AG45" i="31"/>
  <c r="AG49" i="31"/>
  <c r="AG57" i="31"/>
  <c r="AG61" i="31"/>
  <c r="AG65" i="31"/>
  <c r="AG69" i="31"/>
  <c r="AG73" i="31"/>
  <c r="AG66" i="31"/>
  <c r="K3" i="33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2" i="33"/>
  <c r="AD2" i="23"/>
  <c r="AC2" i="23"/>
  <c r="AB2" i="23"/>
  <c r="AA2" i="23"/>
  <c r="M3" i="32"/>
  <c r="M4" i="32"/>
  <c r="M5" i="32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5" i="32"/>
  <c r="M66" i="32"/>
  <c r="M67" i="32"/>
  <c r="M68" i="32"/>
  <c r="M69" i="32"/>
  <c r="M70" i="32"/>
  <c r="M71" i="32"/>
  <c r="M72" i="32"/>
  <c r="M73" i="32"/>
  <c r="M74" i="32"/>
  <c r="M75" i="32"/>
  <c r="M76" i="32"/>
  <c r="M77" i="32"/>
  <c r="M78" i="32"/>
  <c r="M79" i="32"/>
  <c r="M80" i="32"/>
  <c r="M81" i="32"/>
  <c r="M82" i="32"/>
  <c r="M83" i="32"/>
  <c r="M84" i="32"/>
  <c r="M85" i="32"/>
  <c r="M86" i="32"/>
  <c r="M87" i="32"/>
  <c r="M88" i="32"/>
  <c r="M89" i="32"/>
  <c r="M90" i="32"/>
  <c r="M91" i="32"/>
  <c r="M92" i="32"/>
  <c r="M93" i="32"/>
  <c r="M94" i="32"/>
  <c r="M2" i="32"/>
  <c r="AD6" i="34"/>
  <c r="AC6" i="34"/>
  <c r="AB6" i="34"/>
  <c r="AA6" i="34"/>
  <c r="P3" i="35" l="1"/>
  <c r="P4" i="35"/>
  <c r="P5" i="35"/>
  <c r="P6" i="35"/>
  <c r="P7" i="35"/>
  <c r="P8" i="35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40" i="35"/>
  <c r="P41" i="35"/>
  <c r="P42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P57" i="35"/>
  <c r="P58" i="35"/>
  <c r="P59" i="35"/>
  <c r="P60" i="35"/>
  <c r="P61" i="35"/>
  <c r="P62" i="35"/>
  <c r="P63" i="35"/>
  <c r="P64" i="35"/>
  <c r="P65" i="35"/>
  <c r="P66" i="35"/>
  <c r="P67" i="35"/>
  <c r="P68" i="35"/>
  <c r="P69" i="35"/>
  <c r="P70" i="35"/>
  <c r="P71" i="35"/>
  <c r="P72" i="35"/>
  <c r="P73" i="35"/>
  <c r="P74" i="35"/>
  <c r="P75" i="35"/>
  <c r="P76" i="35"/>
  <c r="P77" i="35"/>
  <c r="P78" i="35"/>
  <c r="P79" i="35"/>
  <c r="P80" i="35"/>
  <c r="P81" i="35"/>
  <c r="P82" i="35"/>
  <c r="P83" i="35"/>
  <c r="P84" i="35"/>
  <c r="P85" i="35"/>
  <c r="P86" i="35"/>
  <c r="P87" i="35"/>
  <c r="P88" i="35"/>
  <c r="P89" i="35"/>
  <c r="P90" i="35"/>
  <c r="P91" i="35"/>
  <c r="P92" i="35"/>
  <c r="P93" i="35"/>
  <c r="P94" i="35"/>
  <c r="P2" i="35"/>
  <c r="AD2" i="34"/>
  <c r="P3" i="34" l="1"/>
  <c r="O3" i="35"/>
  <c r="O4" i="35"/>
  <c r="O5" i="35"/>
  <c r="O6" i="35"/>
  <c r="O7" i="35"/>
  <c r="O8" i="35"/>
  <c r="O9" i="35"/>
  <c r="O10" i="35"/>
  <c r="O11" i="35"/>
  <c r="O12" i="35"/>
  <c r="O13" i="35"/>
  <c r="O14" i="35"/>
  <c r="O15" i="35"/>
  <c r="O16" i="35"/>
  <c r="O17" i="35"/>
  <c r="O18" i="35"/>
  <c r="O19" i="35"/>
  <c r="O20" i="35"/>
  <c r="O21" i="35"/>
  <c r="O22" i="35"/>
  <c r="O23" i="35"/>
  <c r="O24" i="35"/>
  <c r="O25" i="35"/>
  <c r="O26" i="35"/>
  <c r="O27" i="35"/>
  <c r="O28" i="35"/>
  <c r="O29" i="35"/>
  <c r="O30" i="35"/>
  <c r="O31" i="35"/>
  <c r="O32" i="35"/>
  <c r="O33" i="35"/>
  <c r="O34" i="35"/>
  <c r="O35" i="35"/>
  <c r="O36" i="35"/>
  <c r="O37" i="35"/>
  <c r="O38" i="35"/>
  <c r="O39" i="35"/>
  <c r="O40" i="35"/>
  <c r="O41" i="35"/>
  <c r="O42" i="35"/>
  <c r="O43" i="35"/>
  <c r="O44" i="35"/>
  <c r="O45" i="35"/>
  <c r="O46" i="35"/>
  <c r="O47" i="35"/>
  <c r="O48" i="35"/>
  <c r="O49" i="35"/>
  <c r="O50" i="35"/>
  <c r="O51" i="35"/>
  <c r="O52" i="35"/>
  <c r="O53" i="35"/>
  <c r="O54" i="35"/>
  <c r="O55" i="35"/>
  <c r="O56" i="35"/>
  <c r="O57" i="35"/>
  <c r="O58" i="35"/>
  <c r="O59" i="35"/>
  <c r="O60" i="35"/>
  <c r="O61" i="35"/>
  <c r="O62" i="35"/>
  <c r="O63" i="35"/>
  <c r="O64" i="35"/>
  <c r="O65" i="35"/>
  <c r="O66" i="35"/>
  <c r="O67" i="35"/>
  <c r="O68" i="35"/>
  <c r="O69" i="35"/>
  <c r="O70" i="35"/>
  <c r="O71" i="35"/>
  <c r="O72" i="35"/>
  <c r="O73" i="35"/>
  <c r="O74" i="35"/>
  <c r="O75" i="35"/>
  <c r="O76" i="35"/>
  <c r="O77" i="35"/>
  <c r="O78" i="35"/>
  <c r="O79" i="35"/>
  <c r="O80" i="35"/>
  <c r="O81" i="35"/>
  <c r="O82" i="35"/>
  <c r="O83" i="35"/>
  <c r="O84" i="35"/>
  <c r="O85" i="35"/>
  <c r="O86" i="35"/>
  <c r="O87" i="35"/>
  <c r="O88" i="35"/>
  <c r="O89" i="35"/>
  <c r="O90" i="35"/>
  <c r="O91" i="35"/>
  <c r="O92" i="35"/>
  <c r="O93" i="35"/>
  <c r="O94" i="35"/>
  <c r="O2" i="35"/>
  <c r="AA9" i="25"/>
  <c r="AL9" i="31"/>
  <c r="AL10" i="31"/>
  <c r="AL11" i="31"/>
  <c r="AL12" i="31"/>
  <c r="AL13" i="31"/>
  <c r="AL14" i="31"/>
  <c r="AL15" i="31"/>
  <c r="AL16" i="31"/>
  <c r="AL17" i="31"/>
  <c r="AL18" i="31"/>
  <c r="AL19" i="31"/>
  <c r="AL20" i="31"/>
  <c r="AL21" i="31"/>
  <c r="AL22" i="31"/>
  <c r="AL23" i="31"/>
  <c r="AL24" i="31"/>
  <c r="AL25" i="31"/>
  <c r="AL26" i="31"/>
  <c r="AL27" i="31"/>
  <c r="AL28" i="31"/>
  <c r="AL29" i="31"/>
  <c r="AL30" i="31"/>
  <c r="AL31" i="31"/>
  <c r="AL32" i="31"/>
  <c r="AL33" i="31"/>
  <c r="AL34" i="31"/>
  <c r="AL35" i="31"/>
  <c r="AL36" i="31"/>
  <c r="AL37" i="31"/>
  <c r="AL38" i="31"/>
  <c r="AL39" i="31"/>
  <c r="AL40" i="31"/>
  <c r="AL41" i="31"/>
  <c r="AL42" i="31"/>
  <c r="AL43" i="31"/>
  <c r="AL44" i="31"/>
  <c r="AL45" i="31"/>
  <c r="AL46" i="31"/>
  <c r="AL47" i="31"/>
  <c r="AL48" i="31"/>
  <c r="AL49" i="31"/>
  <c r="AL50" i="31"/>
  <c r="AL51" i="31"/>
  <c r="AL52" i="31"/>
  <c r="AL53" i="31"/>
  <c r="AL54" i="31"/>
  <c r="AL55" i="31"/>
  <c r="AL56" i="31"/>
  <c r="AL57" i="31"/>
  <c r="AL58" i="31"/>
  <c r="AL59" i="31"/>
  <c r="AL60" i="31"/>
  <c r="AL61" i="31"/>
  <c r="AL62" i="31"/>
  <c r="AL63" i="31"/>
  <c r="AL64" i="31"/>
  <c r="AL65" i="31"/>
  <c r="AL66" i="31"/>
  <c r="AL67" i="31"/>
  <c r="AL68" i="31"/>
  <c r="AL69" i="31"/>
  <c r="AL70" i="31"/>
  <c r="AL71" i="31"/>
  <c r="AL72" i="31"/>
  <c r="AL73" i="31"/>
  <c r="AL74" i="31"/>
  <c r="AL75" i="31"/>
  <c r="AL76" i="31"/>
  <c r="AL8" i="31"/>
  <c r="AK9" i="31"/>
  <c r="AK10" i="31"/>
  <c r="AK11" i="31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25" i="31"/>
  <c r="AK26" i="31"/>
  <c r="AK27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40" i="31"/>
  <c r="AK41" i="31"/>
  <c r="AK42" i="31"/>
  <c r="AK43" i="31"/>
  <c r="AK44" i="31"/>
  <c r="AK45" i="31"/>
  <c r="AK46" i="31"/>
  <c r="AK47" i="31"/>
  <c r="AK48" i="31"/>
  <c r="AK49" i="31"/>
  <c r="AK50" i="31"/>
  <c r="AK51" i="31"/>
  <c r="AK52" i="31"/>
  <c r="AK53" i="31"/>
  <c r="AK54" i="31"/>
  <c r="AK55" i="31"/>
  <c r="AK56" i="31"/>
  <c r="AK57" i="31"/>
  <c r="AK58" i="31"/>
  <c r="AK59" i="31"/>
  <c r="AK60" i="31"/>
  <c r="AK61" i="31"/>
  <c r="AK62" i="31"/>
  <c r="AK63" i="31"/>
  <c r="AK64" i="31"/>
  <c r="AK65" i="31"/>
  <c r="AK66" i="31"/>
  <c r="AK67" i="31"/>
  <c r="AK68" i="31"/>
  <c r="AK69" i="31"/>
  <c r="AK70" i="31"/>
  <c r="AK71" i="31"/>
  <c r="AK72" i="31"/>
  <c r="AK73" i="31"/>
  <c r="AK74" i="31"/>
  <c r="AK75" i="31"/>
  <c r="AK76" i="31"/>
  <c r="AK8" i="31"/>
  <c r="AF9" i="31"/>
  <c r="AF10" i="31"/>
  <c r="AF11" i="31"/>
  <c r="AF12" i="31"/>
  <c r="AF13" i="31"/>
  <c r="AF14" i="31"/>
  <c r="AF15" i="31"/>
  <c r="AF16" i="31"/>
  <c r="AF17" i="31"/>
  <c r="AF18" i="31"/>
  <c r="AF19" i="31"/>
  <c r="AF20" i="31"/>
  <c r="AF21" i="31"/>
  <c r="AF22" i="31"/>
  <c r="AF23" i="31"/>
  <c r="AF24" i="31"/>
  <c r="AF25" i="31"/>
  <c r="AF26" i="31"/>
  <c r="AF27" i="31"/>
  <c r="AF28" i="31"/>
  <c r="AF29" i="31"/>
  <c r="AF30" i="31"/>
  <c r="AF31" i="31"/>
  <c r="AF32" i="31"/>
  <c r="AF33" i="31"/>
  <c r="AF34" i="31"/>
  <c r="AF35" i="31"/>
  <c r="AF36" i="31"/>
  <c r="AF37" i="31"/>
  <c r="AF38" i="31"/>
  <c r="AF39" i="31"/>
  <c r="AF40" i="31"/>
  <c r="AF41" i="31"/>
  <c r="AF42" i="31"/>
  <c r="AF43" i="31"/>
  <c r="AF44" i="31"/>
  <c r="AF45" i="31"/>
  <c r="AF46" i="31"/>
  <c r="AF47" i="31"/>
  <c r="AF48" i="31"/>
  <c r="AF49" i="31"/>
  <c r="AF50" i="31"/>
  <c r="AF51" i="31"/>
  <c r="AF52" i="31"/>
  <c r="AF53" i="31"/>
  <c r="AF54" i="31"/>
  <c r="AF55" i="31"/>
  <c r="AF56" i="31"/>
  <c r="AF57" i="31"/>
  <c r="AF58" i="31"/>
  <c r="AF59" i="31"/>
  <c r="AF60" i="31"/>
  <c r="AF61" i="31"/>
  <c r="AF62" i="31"/>
  <c r="AF63" i="31"/>
  <c r="AF64" i="31"/>
  <c r="AF65" i="31"/>
  <c r="AF66" i="31"/>
  <c r="AF67" i="31"/>
  <c r="AF68" i="31"/>
  <c r="AF69" i="31"/>
  <c r="AF70" i="31"/>
  <c r="AF71" i="31"/>
  <c r="AF72" i="31"/>
  <c r="AF73" i="31"/>
  <c r="AF74" i="31"/>
  <c r="AF75" i="31"/>
  <c r="AF76" i="31"/>
  <c r="AF8" i="31"/>
  <c r="X3" i="35" l="1"/>
  <c r="X7" i="35"/>
  <c r="X11" i="35"/>
  <c r="X15" i="35"/>
  <c r="X19" i="35"/>
  <c r="X23" i="35"/>
  <c r="X27" i="35"/>
  <c r="X31" i="35"/>
  <c r="X35" i="35"/>
  <c r="X39" i="35"/>
  <c r="X43" i="35"/>
  <c r="X47" i="35"/>
  <c r="X51" i="35"/>
  <c r="X55" i="35"/>
  <c r="X59" i="35"/>
  <c r="X63" i="35"/>
  <c r="X67" i="35"/>
  <c r="X71" i="35"/>
  <c r="X75" i="35"/>
  <c r="X79" i="35"/>
  <c r="X83" i="35"/>
  <c r="X87" i="35"/>
  <c r="X91" i="35"/>
  <c r="X2" i="35"/>
  <c r="AB2" i="34" s="1"/>
  <c r="W6" i="35"/>
  <c r="W10" i="35"/>
  <c r="W14" i="35"/>
  <c r="W18" i="35"/>
  <c r="W22" i="35"/>
  <c r="W26" i="35"/>
  <c r="W30" i="35"/>
  <c r="W34" i="35"/>
  <c r="W38" i="35"/>
  <c r="W42" i="35"/>
  <c r="W46" i="35"/>
  <c r="W50" i="35"/>
  <c r="W54" i="35"/>
  <c r="W58" i="35"/>
  <c r="W62" i="35"/>
  <c r="W66" i="35"/>
  <c r="W70" i="35"/>
  <c r="W74" i="35"/>
  <c r="W78" i="35"/>
  <c r="W82" i="35"/>
  <c r="W86" i="35"/>
  <c r="W90" i="35"/>
  <c r="W94" i="35"/>
  <c r="X14" i="35"/>
  <c r="X46" i="35"/>
  <c r="X58" i="35"/>
  <c r="X66" i="35"/>
  <c r="X78" i="35"/>
  <c r="X90" i="35"/>
  <c r="W13" i="35"/>
  <c r="W29" i="35"/>
  <c r="W41" i="35"/>
  <c r="W53" i="35"/>
  <c r="W65" i="35"/>
  <c r="W77" i="35"/>
  <c r="W89" i="35"/>
  <c r="X4" i="35"/>
  <c r="X8" i="35"/>
  <c r="X12" i="35"/>
  <c r="X16" i="35"/>
  <c r="X20" i="35"/>
  <c r="X24" i="35"/>
  <c r="X28" i="35"/>
  <c r="X32" i="35"/>
  <c r="X36" i="35"/>
  <c r="X40" i="35"/>
  <c r="X44" i="35"/>
  <c r="X48" i="35"/>
  <c r="X52" i="35"/>
  <c r="X56" i="35"/>
  <c r="X60" i="35"/>
  <c r="X64" i="35"/>
  <c r="X68" i="35"/>
  <c r="X72" i="35"/>
  <c r="X76" i="35"/>
  <c r="X80" i="35"/>
  <c r="X84" i="35"/>
  <c r="X88" i="35"/>
  <c r="X92" i="35"/>
  <c r="W3" i="35"/>
  <c r="W7" i="35"/>
  <c r="W11" i="35"/>
  <c r="W15" i="35"/>
  <c r="W19" i="35"/>
  <c r="W23" i="35"/>
  <c r="W27" i="35"/>
  <c r="W31" i="35"/>
  <c r="W35" i="35"/>
  <c r="W39" i="35"/>
  <c r="W43" i="35"/>
  <c r="W47" i="35"/>
  <c r="W51" i="35"/>
  <c r="W55" i="35"/>
  <c r="W59" i="35"/>
  <c r="W63" i="35"/>
  <c r="W67" i="35"/>
  <c r="W71" i="35"/>
  <c r="W75" i="35"/>
  <c r="W79" i="35"/>
  <c r="W83" i="35"/>
  <c r="W87" i="35"/>
  <c r="W91" i="35"/>
  <c r="W2" i="35"/>
  <c r="AC2" i="34" s="1"/>
  <c r="X10" i="35"/>
  <c r="X22" i="35"/>
  <c r="X30" i="35"/>
  <c r="X38" i="35"/>
  <c r="X50" i="35"/>
  <c r="X62" i="35"/>
  <c r="X70" i="35"/>
  <c r="X82" i="35"/>
  <c r="X94" i="35"/>
  <c r="W5" i="35"/>
  <c r="W9" i="35"/>
  <c r="W21" i="35"/>
  <c r="W25" i="35"/>
  <c r="W37" i="35"/>
  <c r="W49" i="35"/>
  <c r="W57" i="35"/>
  <c r="W73" i="35"/>
  <c r="W85" i="35"/>
  <c r="X5" i="35"/>
  <c r="X9" i="35"/>
  <c r="X13" i="35"/>
  <c r="X17" i="35"/>
  <c r="X21" i="35"/>
  <c r="X25" i="35"/>
  <c r="X29" i="35"/>
  <c r="X33" i="35"/>
  <c r="X37" i="35"/>
  <c r="X41" i="35"/>
  <c r="X45" i="35"/>
  <c r="X49" i="35"/>
  <c r="X53" i="35"/>
  <c r="X57" i="35"/>
  <c r="X61" i="35"/>
  <c r="X65" i="35"/>
  <c r="X69" i="35"/>
  <c r="X73" i="35"/>
  <c r="X77" i="35"/>
  <c r="X81" i="35"/>
  <c r="X85" i="35"/>
  <c r="X89" i="35"/>
  <c r="X93" i="35"/>
  <c r="W4" i="35"/>
  <c r="W8" i="35"/>
  <c r="W12" i="35"/>
  <c r="W16" i="35"/>
  <c r="W20" i="35"/>
  <c r="W24" i="35"/>
  <c r="W28" i="35"/>
  <c r="W32" i="35"/>
  <c r="W36" i="35"/>
  <c r="W40" i="35"/>
  <c r="W44" i="35"/>
  <c r="W48" i="35"/>
  <c r="W52" i="35"/>
  <c r="W56" i="35"/>
  <c r="W60" i="35"/>
  <c r="W64" i="35"/>
  <c r="W68" i="35"/>
  <c r="W72" i="35"/>
  <c r="W76" i="35"/>
  <c r="W80" i="35"/>
  <c r="W84" i="35"/>
  <c r="W88" i="35"/>
  <c r="W92" i="35"/>
  <c r="X6" i="35"/>
  <c r="X18" i="35"/>
  <c r="X26" i="35"/>
  <c r="X34" i="35"/>
  <c r="X42" i="35"/>
  <c r="X54" i="35"/>
  <c r="X74" i="35"/>
  <c r="X86" i="35"/>
  <c r="W17" i="35"/>
  <c r="W33" i="35"/>
  <c r="W45" i="35"/>
  <c r="W61" i="35"/>
  <c r="W69" i="35"/>
  <c r="W81" i="35"/>
  <c r="W93" i="35"/>
  <c r="V3" i="35"/>
  <c r="V7" i="35"/>
  <c r="V11" i="35"/>
  <c r="V15" i="35"/>
  <c r="V19" i="35"/>
  <c r="V23" i="35"/>
  <c r="V27" i="35"/>
  <c r="V31" i="35"/>
  <c r="V35" i="35"/>
  <c r="V39" i="35"/>
  <c r="V43" i="35"/>
  <c r="V47" i="35"/>
  <c r="V51" i="35"/>
  <c r="V55" i="35"/>
  <c r="V59" i="35"/>
  <c r="V63" i="35"/>
  <c r="V67" i="35"/>
  <c r="V71" i="35"/>
  <c r="V75" i="35"/>
  <c r="V79" i="35"/>
  <c r="V83" i="35"/>
  <c r="V87" i="35"/>
  <c r="V91" i="35"/>
  <c r="V2" i="35"/>
  <c r="AA2" i="34" s="1"/>
  <c r="V46" i="35"/>
  <c r="V86" i="35"/>
  <c r="V94" i="35"/>
  <c r="V4" i="35"/>
  <c r="V8" i="35"/>
  <c r="V12" i="35"/>
  <c r="V16" i="35"/>
  <c r="V20" i="35"/>
  <c r="V24" i="35"/>
  <c r="V28" i="35"/>
  <c r="V32" i="35"/>
  <c r="V36" i="35"/>
  <c r="V40" i="35"/>
  <c r="V44" i="35"/>
  <c r="V48" i="35"/>
  <c r="V52" i="35"/>
  <c r="V56" i="35"/>
  <c r="V60" i="35"/>
  <c r="V64" i="35"/>
  <c r="V68" i="35"/>
  <c r="V72" i="35"/>
  <c r="V76" i="35"/>
  <c r="V80" i="35"/>
  <c r="V84" i="35"/>
  <c r="V88" i="35"/>
  <c r="V92" i="35"/>
  <c r="V54" i="35"/>
  <c r="V5" i="35"/>
  <c r="V9" i="35"/>
  <c r="V13" i="35"/>
  <c r="V17" i="35"/>
  <c r="V21" i="35"/>
  <c r="V25" i="35"/>
  <c r="V29" i="35"/>
  <c r="V33" i="35"/>
  <c r="V37" i="35"/>
  <c r="V41" i="35"/>
  <c r="V45" i="35"/>
  <c r="V49" i="35"/>
  <c r="V53" i="35"/>
  <c r="V57" i="35"/>
  <c r="V61" i="35"/>
  <c r="V65" i="35"/>
  <c r="V69" i="35"/>
  <c r="V73" i="35"/>
  <c r="V77" i="35"/>
  <c r="V81" i="35"/>
  <c r="V85" i="35"/>
  <c r="V89" i="35"/>
  <c r="V93" i="35"/>
  <c r="V6" i="35"/>
  <c r="V10" i="35"/>
  <c r="V14" i="35"/>
  <c r="V18" i="35"/>
  <c r="V22" i="35"/>
  <c r="V26" i="35"/>
  <c r="V30" i="35"/>
  <c r="V34" i="35"/>
  <c r="V38" i="35"/>
  <c r="V42" i="35"/>
  <c r="V50" i="35"/>
  <c r="V58" i="35"/>
  <c r="V62" i="35"/>
  <c r="V66" i="35"/>
  <c r="V70" i="35"/>
  <c r="V74" i="35"/>
  <c r="V78" i="35"/>
  <c r="V82" i="35"/>
  <c r="V90" i="35"/>
  <c r="AA86" i="35"/>
  <c r="AA87" i="35"/>
  <c r="AA88" i="35"/>
  <c r="AA89" i="35"/>
  <c r="AA90" i="35"/>
  <c r="AA91" i="35"/>
  <c r="AA92" i="35"/>
  <c r="AA93" i="35"/>
  <c r="AA94" i="35"/>
  <c r="Z86" i="35"/>
  <c r="Z87" i="35"/>
  <c r="Z88" i="35"/>
  <c r="Z89" i="35"/>
  <c r="Z90" i="35"/>
  <c r="Z91" i="35"/>
  <c r="Z92" i="35"/>
  <c r="Z93" i="35"/>
  <c r="Z94" i="35"/>
  <c r="Y86" i="35"/>
  <c r="Y87" i="35"/>
  <c r="Y88" i="35"/>
  <c r="Y89" i="35"/>
  <c r="Y90" i="35"/>
  <c r="Y91" i="35"/>
  <c r="Y92" i="35"/>
  <c r="Y93" i="35"/>
  <c r="Y94" i="35"/>
  <c r="J86" i="35"/>
  <c r="J87" i="35"/>
  <c r="J88" i="35"/>
  <c r="J89" i="35"/>
  <c r="J90" i="35"/>
  <c r="J91" i="35"/>
  <c r="J92" i="35"/>
  <c r="J93" i="35"/>
  <c r="J94" i="35"/>
  <c r="AA3" i="35"/>
  <c r="AA4" i="35"/>
  <c r="AA5" i="35"/>
  <c r="AA6" i="35"/>
  <c r="AA7" i="35"/>
  <c r="AA8" i="35"/>
  <c r="AA9" i="35"/>
  <c r="AA10" i="35"/>
  <c r="AA11" i="35"/>
  <c r="AA12" i="35"/>
  <c r="AA13" i="35"/>
  <c r="AA14" i="35"/>
  <c r="AA15" i="35"/>
  <c r="AA16" i="35"/>
  <c r="AA17" i="35"/>
  <c r="AA18" i="35"/>
  <c r="AA19" i="35"/>
  <c r="AA20" i="35"/>
  <c r="AA21" i="35"/>
  <c r="AA22" i="35"/>
  <c r="AA23" i="35"/>
  <c r="AA24" i="35"/>
  <c r="AA25" i="35"/>
  <c r="AA26" i="35"/>
  <c r="AA27" i="35"/>
  <c r="AA28" i="35"/>
  <c r="AA29" i="35"/>
  <c r="AA30" i="35"/>
  <c r="AA31" i="35"/>
  <c r="AA32" i="35"/>
  <c r="AA33" i="35"/>
  <c r="AA34" i="35"/>
  <c r="AA35" i="35"/>
  <c r="AA36" i="35"/>
  <c r="AA37" i="35"/>
  <c r="AA38" i="35"/>
  <c r="AA39" i="35"/>
  <c r="AA40" i="35"/>
  <c r="AA41" i="35"/>
  <c r="AA42" i="35"/>
  <c r="AA43" i="35"/>
  <c r="AA44" i="35"/>
  <c r="AA45" i="35"/>
  <c r="AA46" i="35"/>
  <c r="AA47" i="35"/>
  <c r="AA48" i="35"/>
  <c r="AA49" i="35"/>
  <c r="AA50" i="35"/>
  <c r="AA51" i="35"/>
  <c r="AA52" i="35"/>
  <c r="AA53" i="35"/>
  <c r="AA54" i="35"/>
  <c r="AA55" i="35"/>
  <c r="AA56" i="35"/>
  <c r="AA57" i="35"/>
  <c r="AA58" i="35"/>
  <c r="AA59" i="35"/>
  <c r="AA60" i="35"/>
  <c r="AA61" i="35"/>
  <c r="AA62" i="35"/>
  <c r="AA63" i="35"/>
  <c r="AA64" i="35"/>
  <c r="AA65" i="35"/>
  <c r="AA66" i="35"/>
  <c r="AA67" i="35"/>
  <c r="AA68" i="35"/>
  <c r="AA69" i="35"/>
  <c r="AA70" i="35"/>
  <c r="AA71" i="35"/>
  <c r="AA72" i="35"/>
  <c r="AA73" i="35"/>
  <c r="AA74" i="35"/>
  <c r="AA75" i="35"/>
  <c r="AA76" i="35"/>
  <c r="AA77" i="35"/>
  <c r="AA78" i="35"/>
  <c r="AA79" i="35"/>
  <c r="AA80" i="35"/>
  <c r="AA81" i="35"/>
  <c r="AA82" i="35"/>
  <c r="AA83" i="35"/>
  <c r="AA84" i="35"/>
  <c r="AA85" i="35"/>
  <c r="AA2" i="35"/>
  <c r="Z3" i="35"/>
  <c r="Z4" i="35"/>
  <c r="Z5" i="35"/>
  <c r="Z6" i="35"/>
  <c r="Z7" i="35"/>
  <c r="Z8" i="35"/>
  <c r="Z9" i="35"/>
  <c r="Z10" i="35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48" i="35"/>
  <c r="Z49" i="35"/>
  <c r="Z50" i="35"/>
  <c r="Z51" i="35"/>
  <c r="Z52" i="35"/>
  <c r="Z53" i="35"/>
  <c r="Z54" i="35"/>
  <c r="Z55" i="35"/>
  <c r="Z56" i="35"/>
  <c r="Z57" i="35"/>
  <c r="Z58" i="35"/>
  <c r="Z59" i="35"/>
  <c r="Z60" i="35"/>
  <c r="Z61" i="35"/>
  <c r="Z62" i="35"/>
  <c r="Z63" i="35"/>
  <c r="Z64" i="35"/>
  <c r="Z65" i="35"/>
  <c r="Z66" i="35"/>
  <c r="Z67" i="35"/>
  <c r="Z68" i="35"/>
  <c r="Z69" i="35"/>
  <c r="Z70" i="35"/>
  <c r="Z71" i="35"/>
  <c r="Z72" i="35"/>
  <c r="Z73" i="35"/>
  <c r="Z74" i="35"/>
  <c r="Z75" i="35"/>
  <c r="Z76" i="35"/>
  <c r="Z77" i="35"/>
  <c r="Z78" i="35"/>
  <c r="Z79" i="35"/>
  <c r="Z80" i="35"/>
  <c r="Z81" i="35"/>
  <c r="Z82" i="35"/>
  <c r="Z83" i="35"/>
  <c r="Z84" i="35"/>
  <c r="Z85" i="35"/>
  <c r="Z2" i="35"/>
  <c r="Y3" i="35"/>
  <c r="Y4" i="35"/>
  <c r="Y5" i="35"/>
  <c r="Y6" i="35"/>
  <c r="Y7" i="35"/>
  <c r="Y8" i="35"/>
  <c r="Y9" i="35"/>
  <c r="Y10" i="35"/>
  <c r="Y11" i="35"/>
  <c r="Y12" i="35"/>
  <c r="Y13" i="35"/>
  <c r="Y14" i="35"/>
  <c r="Y15" i="35"/>
  <c r="Y16" i="35"/>
  <c r="Y17" i="35"/>
  <c r="Y18" i="35"/>
  <c r="Y19" i="35"/>
  <c r="Y20" i="35"/>
  <c r="Y21" i="35"/>
  <c r="Y22" i="35"/>
  <c r="Y23" i="35"/>
  <c r="Y24" i="35"/>
  <c r="Y25" i="35"/>
  <c r="Y26" i="35"/>
  <c r="Y27" i="35"/>
  <c r="Y28" i="35"/>
  <c r="Y29" i="35"/>
  <c r="Y30" i="35"/>
  <c r="Y31" i="35"/>
  <c r="Y32" i="35"/>
  <c r="Y33" i="35"/>
  <c r="Y34" i="35"/>
  <c r="Y35" i="35"/>
  <c r="Y36" i="35"/>
  <c r="Y37" i="35"/>
  <c r="Y38" i="35"/>
  <c r="Y39" i="35"/>
  <c r="Y40" i="35"/>
  <c r="Y41" i="35"/>
  <c r="Y42" i="35"/>
  <c r="Y43" i="35"/>
  <c r="Y44" i="35"/>
  <c r="Y45" i="35"/>
  <c r="Y46" i="35"/>
  <c r="Y47" i="35"/>
  <c r="Y48" i="35"/>
  <c r="Y49" i="35"/>
  <c r="Y50" i="35"/>
  <c r="Y51" i="35"/>
  <c r="Y52" i="35"/>
  <c r="Y53" i="35"/>
  <c r="Y54" i="35"/>
  <c r="Y55" i="35"/>
  <c r="Y56" i="35"/>
  <c r="Y57" i="35"/>
  <c r="Y58" i="35"/>
  <c r="Y59" i="35"/>
  <c r="Y60" i="35"/>
  <c r="Y61" i="35"/>
  <c r="Y62" i="35"/>
  <c r="Y63" i="35"/>
  <c r="Y64" i="35"/>
  <c r="Y65" i="35"/>
  <c r="Y66" i="35"/>
  <c r="Y67" i="35"/>
  <c r="Y68" i="35"/>
  <c r="Y69" i="35"/>
  <c r="Y70" i="35"/>
  <c r="Y71" i="35"/>
  <c r="Y72" i="35"/>
  <c r="Y73" i="35"/>
  <c r="Y74" i="35"/>
  <c r="Y75" i="35"/>
  <c r="Y76" i="35"/>
  <c r="Y77" i="35"/>
  <c r="Y78" i="35"/>
  <c r="Y79" i="35"/>
  <c r="Y80" i="35"/>
  <c r="Y81" i="35"/>
  <c r="Y82" i="35"/>
  <c r="Y83" i="35"/>
  <c r="Y84" i="35"/>
  <c r="Y85" i="35"/>
  <c r="Y2" i="35"/>
  <c r="J3" i="35"/>
  <c r="J4" i="35"/>
  <c r="J5" i="35"/>
  <c r="J6" i="35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J59" i="35"/>
  <c r="J60" i="35"/>
  <c r="J61" i="35"/>
  <c r="J62" i="35"/>
  <c r="J63" i="35"/>
  <c r="J64" i="35"/>
  <c r="J65" i="35"/>
  <c r="J66" i="35"/>
  <c r="J67" i="35"/>
  <c r="J68" i="35"/>
  <c r="J69" i="35"/>
  <c r="J70" i="35"/>
  <c r="J71" i="35"/>
  <c r="J72" i="35"/>
  <c r="J73" i="35"/>
  <c r="J74" i="35"/>
  <c r="J75" i="35"/>
  <c r="J76" i="35"/>
  <c r="J77" i="35"/>
  <c r="J78" i="35"/>
  <c r="J79" i="35"/>
  <c r="J80" i="35"/>
  <c r="J81" i="35"/>
  <c r="J82" i="35"/>
  <c r="J83" i="35"/>
  <c r="J84" i="35"/>
  <c r="J85" i="35"/>
  <c r="J2" i="35"/>
  <c r="U71" i="30"/>
  <c r="U70" i="30"/>
  <c r="P70" i="30"/>
  <c r="P71" i="30"/>
  <c r="U3" i="30"/>
  <c r="U4" i="30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U45" i="30"/>
  <c r="U46" i="30"/>
  <c r="U47" i="30"/>
  <c r="U48" i="30"/>
  <c r="U49" i="30"/>
  <c r="U50" i="30"/>
  <c r="U51" i="30"/>
  <c r="U52" i="30"/>
  <c r="U53" i="30"/>
  <c r="U54" i="30"/>
  <c r="U55" i="30"/>
  <c r="U56" i="30"/>
  <c r="U57" i="30"/>
  <c r="U58" i="30"/>
  <c r="U59" i="30"/>
  <c r="U60" i="30"/>
  <c r="U61" i="30"/>
  <c r="U62" i="30"/>
  <c r="U63" i="30"/>
  <c r="U64" i="30"/>
  <c r="U65" i="30"/>
  <c r="U66" i="30"/>
  <c r="U67" i="30"/>
  <c r="U68" i="30"/>
  <c r="U69" i="30"/>
  <c r="U2" i="30"/>
  <c r="O70" i="30"/>
  <c r="O71" i="30"/>
  <c r="K3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K66" i="30"/>
  <c r="K67" i="30"/>
  <c r="K68" i="30"/>
  <c r="K69" i="30"/>
  <c r="K70" i="30"/>
  <c r="K71" i="30"/>
  <c r="K2" i="30"/>
  <c r="L35" i="15"/>
  <c r="U16" i="36" s="1"/>
  <c r="V62" i="36"/>
  <c r="V16" i="36"/>
  <c r="V8" i="36"/>
  <c r="V34" i="36"/>
  <c r="V60" i="36"/>
  <c r="V71" i="36"/>
  <c r="V10" i="36"/>
  <c r="V33" i="36"/>
  <c r="V64" i="36"/>
  <c r="V14" i="36"/>
  <c r="V35" i="36"/>
  <c r="V55" i="36"/>
  <c r="V31" i="36"/>
  <c r="V11" i="36"/>
  <c r="V77" i="36"/>
  <c r="V22" i="36"/>
  <c r="V23" i="36"/>
  <c r="V53" i="36"/>
  <c r="V32" i="36"/>
  <c r="V9" i="36"/>
  <c r="V15" i="36"/>
  <c r="V58" i="36"/>
  <c r="V54" i="36"/>
  <c r="V67" i="36"/>
  <c r="V56" i="36"/>
  <c r="V25" i="36"/>
  <c r="V61" i="36"/>
  <c r="V66" i="36"/>
  <c r="V17" i="36"/>
  <c r="V28" i="36"/>
  <c r="V74" i="36"/>
  <c r="V70" i="36"/>
  <c r="V44" i="36"/>
  <c r="V48" i="36"/>
  <c r="V63" i="36"/>
  <c r="V46" i="36"/>
  <c r="V47" i="36"/>
  <c r="V18" i="36"/>
  <c r="V51" i="36"/>
  <c r="V30" i="36"/>
  <c r="V69" i="36"/>
  <c r="V52" i="36"/>
  <c r="V36" i="36"/>
  <c r="V24" i="36"/>
  <c r="V72" i="36"/>
  <c r="V50" i="36"/>
  <c r="V59" i="36"/>
  <c r="V45" i="36"/>
  <c r="V20" i="36"/>
  <c r="V26" i="36"/>
  <c r="V65" i="36"/>
  <c r="V73" i="36"/>
  <c r="V75" i="36"/>
  <c r="V19" i="36"/>
  <c r="V76" i="36"/>
  <c r="V49" i="36"/>
  <c r="V29" i="36"/>
  <c r="V21" i="36"/>
  <c r="V57" i="36"/>
  <c r="V27" i="36"/>
  <c r="V68" i="36"/>
  <c r="V37" i="36"/>
  <c r="V39" i="36"/>
  <c r="V40" i="36"/>
  <c r="V41" i="36"/>
  <c r="V38" i="36"/>
  <c r="V42" i="36"/>
  <c r="V43" i="36"/>
  <c r="V12" i="36"/>
  <c r="V13" i="36"/>
  <c r="T21" i="36" l="1"/>
  <c r="T61" i="36"/>
  <c r="U40" i="36"/>
  <c r="T51" i="36"/>
  <c r="T10" i="36"/>
  <c r="U69" i="36"/>
  <c r="T26" i="36"/>
  <c r="T63" i="36"/>
  <c r="T32" i="36"/>
  <c r="T8" i="36"/>
  <c r="AD4" i="15" s="1"/>
  <c r="U49" i="36"/>
  <c r="T36" i="36"/>
  <c r="T35" i="36"/>
  <c r="U72" i="36"/>
  <c r="T19" i="36"/>
  <c r="T54" i="36"/>
  <c r="U27" i="36"/>
  <c r="T38" i="36"/>
  <c r="T37" i="36"/>
  <c r="T74" i="36"/>
  <c r="T77" i="36"/>
  <c r="U43" i="36"/>
  <c r="U73" i="36"/>
  <c r="U47" i="36"/>
  <c r="U45" i="36"/>
  <c r="T12" i="36"/>
  <c r="T41" i="36"/>
  <c r="T68" i="36"/>
  <c r="T29" i="36"/>
  <c r="T75" i="36"/>
  <c r="T20" i="36"/>
  <c r="T50" i="36"/>
  <c r="T52" i="36"/>
  <c r="T18" i="36"/>
  <c r="T48" i="36"/>
  <c r="T28" i="36"/>
  <c r="T25" i="36"/>
  <c r="T58" i="36"/>
  <c r="T53" i="36"/>
  <c r="T11" i="36"/>
  <c r="T14" i="36"/>
  <c r="T71" i="36"/>
  <c r="T16" i="36"/>
  <c r="U42" i="36"/>
  <c r="U39" i="36"/>
  <c r="U57" i="36"/>
  <c r="U76" i="36"/>
  <c r="U65" i="36"/>
  <c r="U59" i="36"/>
  <c r="U24" i="36"/>
  <c r="U30" i="36"/>
  <c r="U46" i="36"/>
  <c r="U70" i="36"/>
  <c r="U66" i="36"/>
  <c r="U67" i="36"/>
  <c r="U9" i="36"/>
  <c r="U22" i="36"/>
  <c r="U55" i="36"/>
  <c r="U33" i="36"/>
  <c r="U34" i="36"/>
  <c r="T13" i="36"/>
  <c r="T43" i="36"/>
  <c r="T40" i="36"/>
  <c r="T27" i="36"/>
  <c r="T49" i="36"/>
  <c r="T73" i="36"/>
  <c r="T45" i="36"/>
  <c r="T72" i="36"/>
  <c r="T69" i="36"/>
  <c r="T47" i="36"/>
  <c r="T44" i="36"/>
  <c r="T17" i="36"/>
  <c r="T56" i="36"/>
  <c r="T15" i="36"/>
  <c r="T23" i="36"/>
  <c r="T31" i="36"/>
  <c r="T64" i="36"/>
  <c r="T60" i="36"/>
  <c r="T62" i="36"/>
  <c r="U38" i="36"/>
  <c r="U37" i="36"/>
  <c r="U21" i="36"/>
  <c r="U19" i="36"/>
  <c r="U26" i="36"/>
  <c r="U36" i="36"/>
  <c r="U51" i="36"/>
  <c r="U63" i="36"/>
  <c r="U74" i="36"/>
  <c r="U61" i="36"/>
  <c r="U54" i="36"/>
  <c r="U32" i="36"/>
  <c r="U77" i="36"/>
  <c r="U35" i="36"/>
  <c r="U10" i="36"/>
  <c r="U8" i="36"/>
  <c r="AB4" i="15" s="1"/>
  <c r="U44" i="36"/>
  <c r="U17" i="36"/>
  <c r="U56" i="36"/>
  <c r="U15" i="36"/>
  <c r="U23" i="36"/>
  <c r="U31" i="36"/>
  <c r="U64" i="36"/>
  <c r="U60" i="36"/>
  <c r="U62" i="36"/>
  <c r="U13" i="36"/>
  <c r="T42" i="36"/>
  <c r="T39" i="36"/>
  <c r="T57" i="36"/>
  <c r="T76" i="36"/>
  <c r="T65" i="36"/>
  <c r="T59" i="36"/>
  <c r="T24" i="36"/>
  <c r="T30" i="36"/>
  <c r="T46" i="36"/>
  <c r="T70" i="36"/>
  <c r="T66" i="36"/>
  <c r="T67" i="36"/>
  <c r="T9" i="36"/>
  <c r="T22" i="36"/>
  <c r="T55" i="36"/>
  <c r="T33" i="36"/>
  <c r="T34" i="36"/>
  <c r="U12" i="36"/>
  <c r="U41" i="36"/>
  <c r="U68" i="36"/>
  <c r="U29" i="36"/>
  <c r="U75" i="36"/>
  <c r="U20" i="36"/>
  <c r="U50" i="36"/>
  <c r="U52" i="36"/>
  <c r="U18" i="36"/>
  <c r="U48" i="36"/>
  <c r="U28" i="36"/>
  <c r="U25" i="36"/>
  <c r="U58" i="36"/>
  <c r="U53" i="36"/>
  <c r="U11" i="36"/>
  <c r="U14" i="36"/>
  <c r="U71" i="36"/>
  <c r="O62" i="36"/>
  <c r="O16" i="36"/>
  <c r="O8" i="36"/>
  <c r="O34" i="36"/>
  <c r="O60" i="36"/>
  <c r="O71" i="36"/>
  <c r="O10" i="36"/>
  <c r="O33" i="36"/>
  <c r="O64" i="36"/>
  <c r="O14" i="36"/>
  <c r="O35" i="36"/>
  <c r="O55" i="36"/>
  <c r="O31" i="36"/>
  <c r="O11" i="36"/>
  <c r="O77" i="36"/>
  <c r="O22" i="36"/>
  <c r="O23" i="36"/>
  <c r="O53" i="36"/>
  <c r="O32" i="36"/>
  <c r="O9" i="36"/>
  <c r="O15" i="36"/>
  <c r="O58" i="36"/>
  <c r="O54" i="36"/>
  <c r="O67" i="36"/>
  <c r="O56" i="36"/>
  <c r="O25" i="36"/>
  <c r="O61" i="36"/>
  <c r="O66" i="36"/>
  <c r="O17" i="36"/>
  <c r="O28" i="36"/>
  <c r="O74" i="36"/>
  <c r="O70" i="36"/>
  <c r="O44" i="36"/>
  <c r="O48" i="36"/>
  <c r="O63" i="36"/>
  <c r="O46" i="36"/>
  <c r="O47" i="36"/>
  <c r="O18" i="36"/>
  <c r="O51" i="36"/>
  <c r="O30" i="36"/>
  <c r="O69" i="36"/>
  <c r="O52" i="36"/>
  <c r="O36" i="36"/>
  <c r="O24" i="36"/>
  <c r="O72" i="36"/>
  <c r="O50" i="36"/>
  <c r="O59" i="36"/>
  <c r="O45" i="36"/>
  <c r="O20" i="36"/>
  <c r="O26" i="36"/>
  <c r="O65" i="36"/>
  <c r="O73" i="36"/>
  <c r="O75" i="36"/>
  <c r="O19" i="36"/>
  <c r="O76" i="36"/>
  <c r="O49" i="36"/>
  <c r="O29" i="36"/>
  <c r="O21" i="36"/>
  <c r="O57" i="36"/>
  <c r="O27" i="36"/>
  <c r="O68" i="36"/>
  <c r="O37" i="36"/>
  <c r="O39" i="36"/>
  <c r="O40" i="36"/>
  <c r="O41" i="36"/>
  <c r="O38" i="36"/>
  <c r="O42" i="36"/>
  <c r="O43" i="36"/>
  <c r="O12" i="36"/>
  <c r="O13" i="36"/>
  <c r="I62" i="36"/>
  <c r="I16" i="36"/>
  <c r="I8" i="36"/>
  <c r="I34" i="36"/>
  <c r="I60" i="36"/>
  <c r="I71" i="36"/>
  <c r="I10" i="36"/>
  <c r="I33" i="36"/>
  <c r="I64" i="36"/>
  <c r="I14" i="36"/>
  <c r="I35" i="36"/>
  <c r="I55" i="36"/>
  <c r="I31" i="36"/>
  <c r="I11" i="36"/>
  <c r="I77" i="36"/>
  <c r="I22" i="36"/>
  <c r="I23" i="36"/>
  <c r="I53" i="36"/>
  <c r="I32" i="36"/>
  <c r="I9" i="36"/>
  <c r="I15" i="36"/>
  <c r="I58" i="36"/>
  <c r="I54" i="36"/>
  <c r="I67" i="36"/>
  <c r="I56" i="36"/>
  <c r="I25" i="36"/>
  <c r="I61" i="36"/>
  <c r="I66" i="36"/>
  <c r="I17" i="36"/>
  <c r="I28" i="36"/>
  <c r="I74" i="36"/>
  <c r="I70" i="36"/>
  <c r="I44" i="36"/>
  <c r="I48" i="36"/>
  <c r="I63" i="36"/>
  <c r="I46" i="36"/>
  <c r="I47" i="36"/>
  <c r="I18" i="36"/>
  <c r="I51" i="36"/>
  <c r="I30" i="36"/>
  <c r="I69" i="36"/>
  <c r="I52" i="36"/>
  <c r="I36" i="36"/>
  <c r="I24" i="36"/>
  <c r="I72" i="36"/>
  <c r="I50" i="36"/>
  <c r="I59" i="36"/>
  <c r="I45" i="36"/>
  <c r="I20" i="36"/>
  <c r="I26" i="36"/>
  <c r="I65" i="36"/>
  <c r="I73" i="36"/>
  <c r="I75" i="36"/>
  <c r="I19" i="36"/>
  <c r="I76" i="36"/>
  <c r="I49" i="36"/>
  <c r="I29" i="36"/>
  <c r="I21" i="36"/>
  <c r="I57" i="36"/>
  <c r="I27" i="36"/>
  <c r="I68" i="36"/>
  <c r="I37" i="36"/>
  <c r="I39" i="36"/>
  <c r="I40" i="36"/>
  <c r="I41" i="36"/>
  <c r="I38" i="36"/>
  <c r="I42" i="36"/>
  <c r="I43" i="36"/>
  <c r="I12" i="36"/>
  <c r="I13" i="36"/>
  <c r="H5" i="36"/>
  <c r="G5" i="36"/>
  <c r="F5" i="36"/>
  <c r="E5" i="36"/>
  <c r="H4" i="36"/>
  <c r="G4" i="36"/>
  <c r="F4" i="36"/>
  <c r="E4" i="36"/>
  <c r="H3" i="36"/>
  <c r="G3" i="36"/>
  <c r="F3" i="36"/>
  <c r="E3" i="36"/>
  <c r="H2" i="36"/>
  <c r="G2" i="36"/>
  <c r="F2" i="36"/>
  <c r="E2" i="36"/>
  <c r="H1" i="36"/>
  <c r="G1" i="36"/>
  <c r="F1" i="36"/>
  <c r="E1" i="36"/>
  <c r="P8" i="36" l="1"/>
  <c r="P10" i="36"/>
  <c r="P35" i="36"/>
  <c r="P77" i="36"/>
  <c r="P32" i="36"/>
  <c r="P54" i="36"/>
  <c r="P61" i="36"/>
  <c r="P74" i="36"/>
  <c r="P63" i="36"/>
  <c r="P51" i="36"/>
  <c r="P36" i="36"/>
  <c r="P26" i="36"/>
  <c r="P19" i="36"/>
  <c r="P21" i="36"/>
  <c r="P37" i="36"/>
  <c r="P38" i="36"/>
  <c r="P62" i="36"/>
  <c r="P71" i="36"/>
  <c r="P55" i="36"/>
  <c r="P23" i="36"/>
  <c r="P58" i="36"/>
  <c r="P66" i="36"/>
  <c r="P44" i="36"/>
  <c r="P18" i="36"/>
  <c r="P24" i="36"/>
  <c r="P45" i="36"/>
  <c r="P75" i="36"/>
  <c r="P57" i="36"/>
  <c r="P40" i="36"/>
  <c r="P12" i="36"/>
  <c r="P34" i="36"/>
  <c r="P64" i="36"/>
  <c r="P11" i="36"/>
  <c r="P9" i="36"/>
  <c r="P56" i="36"/>
  <c r="P28" i="36"/>
  <c r="P46" i="36"/>
  <c r="P69" i="36"/>
  <c r="P50" i="36"/>
  <c r="P65" i="36"/>
  <c r="P49" i="36"/>
  <c r="P68" i="36"/>
  <c r="P42" i="36"/>
  <c r="P13" i="36"/>
  <c r="P60" i="36"/>
  <c r="P14" i="36"/>
  <c r="P22" i="36"/>
  <c r="P15" i="36"/>
  <c r="P25" i="36"/>
  <c r="P70" i="36"/>
  <c r="P47" i="36"/>
  <c r="P52" i="36"/>
  <c r="P59" i="36"/>
  <c r="P73" i="36"/>
  <c r="P29" i="36"/>
  <c r="P39" i="36"/>
  <c r="P43" i="36"/>
  <c r="P53" i="36"/>
  <c r="P30" i="36"/>
  <c r="P27" i="36"/>
  <c r="P16" i="36"/>
  <c r="P72" i="36"/>
  <c r="P41" i="36"/>
  <c r="P20" i="36"/>
  <c r="P31" i="36"/>
  <c r="P76" i="36"/>
  <c r="P67" i="36"/>
  <c r="P33" i="36"/>
  <c r="P48" i="36"/>
  <c r="P17" i="36"/>
  <c r="Q62" i="36"/>
  <c r="Q60" i="36"/>
  <c r="Q64" i="36"/>
  <c r="Q31" i="36"/>
  <c r="Q23" i="36"/>
  <c r="Q15" i="36"/>
  <c r="Q56" i="36"/>
  <c r="Q17" i="36"/>
  <c r="Q44" i="36"/>
  <c r="Q47" i="36"/>
  <c r="Q69" i="36"/>
  <c r="Q72" i="36"/>
  <c r="Q45" i="36"/>
  <c r="Q73" i="36"/>
  <c r="Q49" i="36"/>
  <c r="Q27" i="36"/>
  <c r="Q40" i="36"/>
  <c r="Q43" i="36"/>
  <c r="Q71" i="36"/>
  <c r="Q11" i="36"/>
  <c r="Q53" i="36"/>
  <c r="Q16" i="36"/>
  <c r="Q14" i="36"/>
  <c r="Q58" i="36"/>
  <c r="Q10" i="36"/>
  <c r="Q77" i="36"/>
  <c r="Q54" i="36"/>
  <c r="Q66" i="36"/>
  <c r="Q48" i="36"/>
  <c r="Q51" i="36"/>
  <c r="Q24" i="36"/>
  <c r="Q20" i="36"/>
  <c r="Q19" i="36"/>
  <c r="Q57" i="36"/>
  <c r="Q41" i="36"/>
  <c r="Q8" i="36"/>
  <c r="Q35" i="36"/>
  <c r="Q32" i="36"/>
  <c r="Q25" i="36"/>
  <c r="Q74" i="36"/>
  <c r="Q46" i="36"/>
  <c r="Q52" i="36"/>
  <c r="Q65" i="36"/>
  <c r="Q29" i="36"/>
  <c r="Q37" i="36"/>
  <c r="Q42" i="36"/>
  <c r="Q34" i="36"/>
  <c r="Q55" i="36"/>
  <c r="Q9" i="36"/>
  <c r="Q61" i="36"/>
  <c r="Q70" i="36"/>
  <c r="Q18" i="36"/>
  <c r="Q36" i="36"/>
  <c r="Q59" i="36"/>
  <c r="Q75" i="36"/>
  <c r="Q21" i="36"/>
  <c r="Q39" i="36"/>
  <c r="Q12" i="36"/>
  <c r="Q67" i="36"/>
  <c r="Q50" i="36"/>
  <c r="Q38" i="36"/>
  <c r="Q28" i="36"/>
  <c r="Q26" i="36"/>
  <c r="Q13" i="36"/>
  <c r="Q76" i="36"/>
  <c r="Q22" i="36"/>
  <c r="Q33" i="36"/>
  <c r="Q30" i="36"/>
  <c r="Q63" i="36"/>
  <c r="Q68" i="36"/>
  <c r="R8" i="36"/>
  <c r="R10" i="36"/>
  <c r="R35" i="36"/>
  <c r="R77" i="36"/>
  <c r="R32" i="36"/>
  <c r="R54" i="36"/>
  <c r="R61" i="36"/>
  <c r="R74" i="36"/>
  <c r="R63" i="36"/>
  <c r="R51" i="36"/>
  <c r="R36" i="36"/>
  <c r="R26" i="36"/>
  <c r="R19" i="36"/>
  <c r="R21" i="36"/>
  <c r="R37" i="36"/>
  <c r="R38" i="36"/>
  <c r="R13" i="36"/>
  <c r="R34" i="36"/>
  <c r="R55" i="36"/>
  <c r="R9" i="36"/>
  <c r="R66" i="36"/>
  <c r="R46" i="36"/>
  <c r="R24" i="36"/>
  <c r="R65" i="36"/>
  <c r="R57" i="36"/>
  <c r="R42" i="36"/>
  <c r="R33" i="36"/>
  <c r="R22" i="36"/>
  <c r="R67" i="36"/>
  <c r="R70" i="36"/>
  <c r="R30" i="36"/>
  <c r="R59" i="36"/>
  <c r="R76" i="36"/>
  <c r="R39" i="36"/>
  <c r="R60" i="36"/>
  <c r="R31" i="36"/>
  <c r="R15" i="36"/>
  <c r="R17" i="36"/>
  <c r="R47" i="36"/>
  <c r="R72" i="36"/>
  <c r="R73" i="36"/>
  <c r="R27" i="36"/>
  <c r="R43" i="36"/>
  <c r="R62" i="36"/>
  <c r="R64" i="36"/>
  <c r="R23" i="36"/>
  <c r="R56" i="36"/>
  <c r="R44" i="36"/>
  <c r="R69" i="36"/>
  <c r="R45" i="36"/>
  <c r="R49" i="36"/>
  <c r="R40" i="36"/>
  <c r="R16" i="36"/>
  <c r="R14" i="36"/>
  <c r="R53" i="36"/>
  <c r="R25" i="36"/>
  <c r="R48" i="36"/>
  <c r="R52" i="36"/>
  <c r="R20" i="36"/>
  <c r="R29" i="36"/>
  <c r="R41" i="36"/>
  <c r="R71" i="36"/>
  <c r="R11" i="36"/>
  <c r="R28" i="36"/>
  <c r="R68" i="36"/>
  <c r="R18" i="36"/>
  <c r="R50" i="36"/>
  <c r="R12" i="36"/>
  <c r="R58" i="36"/>
  <c r="R75" i="36"/>
  <c r="S34" i="36"/>
  <c r="S33" i="36"/>
  <c r="S55" i="36"/>
  <c r="S22" i="36"/>
  <c r="S9" i="36"/>
  <c r="S67" i="36"/>
  <c r="S66" i="36"/>
  <c r="S70" i="36"/>
  <c r="S46" i="36"/>
  <c r="S30" i="36"/>
  <c r="S24" i="36"/>
  <c r="S59" i="36"/>
  <c r="S65" i="36"/>
  <c r="S76" i="36"/>
  <c r="S57" i="36"/>
  <c r="S62" i="36"/>
  <c r="S60" i="36"/>
  <c r="S64" i="36"/>
  <c r="S31" i="36"/>
  <c r="S23" i="36"/>
  <c r="S15" i="36"/>
  <c r="S56" i="36"/>
  <c r="S17" i="36"/>
  <c r="S44" i="36"/>
  <c r="S47" i="36"/>
  <c r="S69" i="36"/>
  <c r="S72" i="36"/>
  <c r="S45" i="36"/>
  <c r="S73" i="36"/>
  <c r="S49" i="36"/>
  <c r="S27" i="36"/>
  <c r="S40" i="36"/>
  <c r="S43" i="36"/>
  <c r="S29" i="36"/>
  <c r="S16" i="36"/>
  <c r="S71" i="36"/>
  <c r="S14" i="36"/>
  <c r="S11" i="36"/>
  <c r="S53" i="36"/>
  <c r="S58" i="36"/>
  <c r="S25" i="36"/>
  <c r="S28" i="36"/>
  <c r="S48" i="36"/>
  <c r="S18" i="36"/>
  <c r="S52" i="36"/>
  <c r="S50" i="36"/>
  <c r="S20" i="36"/>
  <c r="S75" i="36"/>
  <c r="S68" i="36"/>
  <c r="S41" i="36"/>
  <c r="S12" i="36"/>
  <c r="S10" i="36"/>
  <c r="S54" i="36"/>
  <c r="S51" i="36"/>
  <c r="S19" i="36"/>
  <c r="S38" i="36"/>
  <c r="S13" i="36"/>
  <c r="S77" i="36"/>
  <c r="S74" i="36"/>
  <c r="S37" i="36"/>
  <c r="S8" i="36"/>
  <c r="S32" i="36"/>
  <c r="S63" i="36"/>
  <c r="S26" i="36"/>
  <c r="S39" i="36"/>
  <c r="S35" i="36"/>
  <c r="S61" i="36"/>
  <c r="S36" i="36"/>
  <c r="S21" i="36"/>
  <c r="S42" i="36"/>
  <c r="I29" i="29"/>
  <c r="O29" i="29"/>
  <c r="B30" i="34" l="1"/>
  <c r="G30" i="34" l="1"/>
  <c r="C30" i="34"/>
  <c r="I30" i="34"/>
  <c r="E30" i="34"/>
  <c r="H30" i="34"/>
  <c r="J30" i="34"/>
  <c r="F30" i="34"/>
  <c r="D30" i="34"/>
  <c r="O4" i="12" l="1"/>
  <c r="X3" i="30" l="1"/>
  <c r="X7" i="30"/>
  <c r="X11" i="30"/>
  <c r="X15" i="30"/>
  <c r="X19" i="30"/>
  <c r="X23" i="30"/>
  <c r="X26" i="30"/>
  <c r="X30" i="30"/>
  <c r="X34" i="30"/>
  <c r="X38" i="30"/>
  <c r="X42" i="30"/>
  <c r="X46" i="30"/>
  <c r="X50" i="30"/>
  <c r="X54" i="30"/>
  <c r="X58" i="30"/>
  <c r="X62" i="30"/>
  <c r="X66" i="30"/>
  <c r="X70" i="30"/>
  <c r="X10" i="30"/>
  <c r="X22" i="30"/>
  <c r="X33" i="30"/>
  <c r="X41" i="30"/>
  <c r="X53" i="30"/>
  <c r="X57" i="30"/>
  <c r="X69" i="30"/>
  <c r="X4" i="30"/>
  <c r="X8" i="30"/>
  <c r="X12" i="30"/>
  <c r="X16" i="30"/>
  <c r="X20" i="30"/>
  <c r="X24" i="30"/>
  <c r="X27" i="30"/>
  <c r="X31" i="30"/>
  <c r="X35" i="30"/>
  <c r="X39" i="30"/>
  <c r="X43" i="30"/>
  <c r="X47" i="30"/>
  <c r="X51" i="30"/>
  <c r="X55" i="30"/>
  <c r="X59" i="30"/>
  <c r="X63" i="30"/>
  <c r="X67" i="30"/>
  <c r="X71" i="30"/>
  <c r="X14" i="30"/>
  <c r="X29" i="30"/>
  <c r="X45" i="30"/>
  <c r="X61" i="30"/>
  <c r="X5" i="30"/>
  <c r="X9" i="30"/>
  <c r="X13" i="30"/>
  <c r="X17" i="30"/>
  <c r="X21" i="30"/>
  <c r="X28" i="30"/>
  <c r="X32" i="30"/>
  <c r="X36" i="30"/>
  <c r="X40" i="30"/>
  <c r="X44" i="30"/>
  <c r="X48" i="30"/>
  <c r="X52" i="30"/>
  <c r="X56" i="30"/>
  <c r="X60" i="30"/>
  <c r="X64" i="30"/>
  <c r="X68" i="30"/>
  <c r="X2" i="30"/>
  <c r="X6" i="30"/>
  <c r="X18" i="30"/>
  <c r="X25" i="30"/>
  <c r="X37" i="30"/>
  <c r="X49" i="30"/>
  <c r="X65" i="30"/>
  <c r="AA71" i="30"/>
  <c r="Y71" i="30"/>
  <c r="AA70" i="30"/>
  <c r="Y70" i="30"/>
  <c r="Z70" i="30"/>
  <c r="Z71" i="30"/>
  <c r="Q33" i="25"/>
  <c r="Y61" i="31" l="1"/>
  <c r="Y10" i="31"/>
  <c r="Y14" i="31"/>
  <c r="Y18" i="31"/>
  <c r="Y22" i="31"/>
  <c r="Y26" i="31"/>
  <c r="Y30" i="31"/>
  <c r="Y34" i="31"/>
  <c r="Y38" i="31"/>
  <c r="Y42" i="31"/>
  <c r="Y46" i="31"/>
  <c r="Y50" i="31"/>
  <c r="Y54" i="31"/>
  <c r="Y58" i="31"/>
  <c r="Y62" i="31"/>
  <c r="Y66" i="31"/>
  <c r="Y70" i="31"/>
  <c r="Y74" i="31"/>
  <c r="Y12" i="31"/>
  <c r="Y24" i="31"/>
  <c r="Y32" i="31"/>
  <c r="Y40" i="31"/>
  <c r="Y48" i="31"/>
  <c r="Y56" i="31"/>
  <c r="Y64" i="31"/>
  <c r="Y72" i="31"/>
  <c r="Y9" i="31"/>
  <c r="Y17" i="31"/>
  <c r="Y25" i="31"/>
  <c r="Y33" i="31"/>
  <c r="Y41" i="31"/>
  <c r="Y53" i="31"/>
  <c r="Y65" i="31"/>
  <c r="Y73" i="31"/>
  <c r="Y11" i="31"/>
  <c r="Y15" i="31"/>
  <c r="Y19" i="31"/>
  <c r="Y23" i="31"/>
  <c r="Y27" i="31"/>
  <c r="Y31" i="31"/>
  <c r="Y35" i="31"/>
  <c r="Y39" i="31"/>
  <c r="Y43" i="31"/>
  <c r="Y47" i="31"/>
  <c r="Y51" i="31"/>
  <c r="Y55" i="31"/>
  <c r="Y59" i="31"/>
  <c r="Y63" i="31"/>
  <c r="Y67" i="31"/>
  <c r="Y71" i="31"/>
  <c r="Y75" i="31"/>
  <c r="Y16" i="31"/>
  <c r="Y20" i="31"/>
  <c r="Y28" i="31"/>
  <c r="Y36" i="31"/>
  <c r="Y44" i="31"/>
  <c r="Y52" i="31"/>
  <c r="Y60" i="31"/>
  <c r="Y68" i="31"/>
  <c r="Y76" i="31"/>
  <c r="Y13" i="31"/>
  <c r="Y21" i="31"/>
  <c r="Y29" i="31"/>
  <c r="Y37" i="31"/>
  <c r="Y45" i="31"/>
  <c r="Y49" i="31"/>
  <c r="Y57" i="31"/>
  <c r="Y69" i="31"/>
  <c r="Y8" i="31"/>
  <c r="AB4" i="25" s="1"/>
  <c r="X12" i="31"/>
  <c r="X16" i="31"/>
  <c r="X20" i="31"/>
  <c r="X24" i="31"/>
  <c r="X28" i="31"/>
  <c r="X32" i="31"/>
  <c r="X36" i="31"/>
  <c r="X40" i="31"/>
  <c r="X44" i="31"/>
  <c r="X48" i="31"/>
  <c r="X52" i="31"/>
  <c r="X56" i="31"/>
  <c r="X60" i="31"/>
  <c r="X64" i="31"/>
  <c r="X68" i="31"/>
  <c r="X72" i="31"/>
  <c r="X76" i="31"/>
  <c r="X23" i="31"/>
  <c r="X35" i="31"/>
  <c r="X47" i="31"/>
  <c r="X59" i="31"/>
  <c r="X9" i="31"/>
  <c r="X13" i="31"/>
  <c r="X17" i="31"/>
  <c r="X21" i="31"/>
  <c r="X25" i="31"/>
  <c r="X29" i="31"/>
  <c r="X33" i="31"/>
  <c r="X37" i="31"/>
  <c r="X41" i="31"/>
  <c r="X45" i="31"/>
  <c r="X49" i="31"/>
  <c r="X53" i="31"/>
  <c r="X57" i="31"/>
  <c r="X61" i="31"/>
  <c r="X65" i="31"/>
  <c r="X69" i="31"/>
  <c r="X73" i="31"/>
  <c r="X8" i="31"/>
  <c r="AD4" i="25" s="1"/>
  <c r="X70" i="31"/>
  <c r="X11" i="31"/>
  <c r="X27" i="31"/>
  <c r="X39" i="31"/>
  <c r="X55" i="31"/>
  <c r="X63" i="31"/>
  <c r="X71" i="31"/>
  <c r="X10" i="31"/>
  <c r="X14" i="31"/>
  <c r="X18" i="31"/>
  <c r="X22" i="31"/>
  <c r="X26" i="31"/>
  <c r="X30" i="31"/>
  <c r="X34" i="31"/>
  <c r="X38" i="31"/>
  <c r="X42" i="31"/>
  <c r="X46" i="31"/>
  <c r="X50" i="31"/>
  <c r="X54" i="31"/>
  <c r="X58" i="31"/>
  <c r="X62" i="31"/>
  <c r="X66" i="31"/>
  <c r="X74" i="31"/>
  <c r="X15" i="31"/>
  <c r="X19" i="31"/>
  <c r="X31" i="31"/>
  <c r="X43" i="31"/>
  <c r="X51" i="31"/>
  <c r="X67" i="31"/>
  <c r="X75" i="31"/>
  <c r="AD9" i="31" l="1"/>
  <c r="AI9" i="31" s="1"/>
  <c r="AD10" i="31"/>
  <c r="AI10" i="31" s="1"/>
  <c r="AD11" i="31"/>
  <c r="AI11" i="31" s="1"/>
  <c r="AD12" i="31"/>
  <c r="AI12" i="31" s="1"/>
  <c r="AD13" i="31"/>
  <c r="AI13" i="31" s="1"/>
  <c r="AD14" i="31"/>
  <c r="AI14" i="31" s="1"/>
  <c r="AD15" i="31"/>
  <c r="AI15" i="31" s="1"/>
  <c r="AD16" i="31"/>
  <c r="AI16" i="31" s="1"/>
  <c r="AD17" i="31"/>
  <c r="AI17" i="31" s="1"/>
  <c r="AD18" i="31"/>
  <c r="AI18" i="31" s="1"/>
  <c r="AD19" i="31"/>
  <c r="AI19" i="31" s="1"/>
  <c r="AD20" i="31"/>
  <c r="AI20" i="31" s="1"/>
  <c r="AD21" i="31"/>
  <c r="AI21" i="31" s="1"/>
  <c r="AD22" i="31"/>
  <c r="AI22" i="31" s="1"/>
  <c r="AD23" i="31"/>
  <c r="AI23" i="31" s="1"/>
  <c r="AD24" i="31"/>
  <c r="AI24" i="31" s="1"/>
  <c r="AD25" i="31"/>
  <c r="AI25" i="31" s="1"/>
  <c r="AD26" i="31"/>
  <c r="AI26" i="31" s="1"/>
  <c r="AD27" i="31"/>
  <c r="AI27" i="31" s="1"/>
  <c r="AD28" i="31"/>
  <c r="AI28" i="31" s="1"/>
  <c r="AD29" i="31"/>
  <c r="AI29" i="31" s="1"/>
  <c r="AD30" i="31"/>
  <c r="AI30" i="31" s="1"/>
  <c r="AD31" i="31"/>
  <c r="AI31" i="31" s="1"/>
  <c r="AD32" i="31"/>
  <c r="AI32" i="31" s="1"/>
  <c r="AD33" i="31"/>
  <c r="AI33" i="31" s="1"/>
  <c r="AD34" i="31"/>
  <c r="AI34" i="31" s="1"/>
  <c r="AD35" i="31"/>
  <c r="AI35" i="31" s="1"/>
  <c r="AD36" i="31"/>
  <c r="AI36" i="31" s="1"/>
  <c r="AD37" i="31"/>
  <c r="AI37" i="31" s="1"/>
  <c r="AD38" i="31"/>
  <c r="AI38" i="31" s="1"/>
  <c r="AD39" i="31"/>
  <c r="AI39" i="31" s="1"/>
  <c r="AD40" i="31"/>
  <c r="AI40" i="31" s="1"/>
  <c r="AD41" i="31"/>
  <c r="AI41" i="31" s="1"/>
  <c r="AD42" i="31"/>
  <c r="AI42" i="31" s="1"/>
  <c r="AD43" i="31"/>
  <c r="AI43" i="31" s="1"/>
  <c r="AD44" i="31"/>
  <c r="AI44" i="31" s="1"/>
  <c r="AD45" i="31"/>
  <c r="AI45" i="31" s="1"/>
  <c r="AD46" i="31"/>
  <c r="AI46" i="31" s="1"/>
  <c r="AD47" i="31"/>
  <c r="AI47" i="31" s="1"/>
  <c r="AD48" i="31"/>
  <c r="AI48" i="31" s="1"/>
  <c r="AD49" i="31"/>
  <c r="AI49" i="31" s="1"/>
  <c r="AD50" i="31"/>
  <c r="AI50" i="31" s="1"/>
  <c r="AD51" i="31"/>
  <c r="AI51" i="31" s="1"/>
  <c r="AD52" i="31"/>
  <c r="AI52" i="31" s="1"/>
  <c r="AD53" i="31"/>
  <c r="AI53" i="31" s="1"/>
  <c r="AD54" i="31"/>
  <c r="AI54" i="31" s="1"/>
  <c r="AD55" i="31"/>
  <c r="AI55" i="31" s="1"/>
  <c r="AD56" i="31"/>
  <c r="AI56" i="31" s="1"/>
  <c r="AD57" i="31"/>
  <c r="AI57" i="31" s="1"/>
  <c r="AD58" i="31"/>
  <c r="AI58" i="31" s="1"/>
  <c r="AD59" i="31"/>
  <c r="AI59" i="31" s="1"/>
  <c r="AD60" i="31"/>
  <c r="AI60" i="31" s="1"/>
  <c r="AD61" i="31"/>
  <c r="AI61" i="31" s="1"/>
  <c r="AD62" i="31"/>
  <c r="AI62" i="31" s="1"/>
  <c r="AD63" i="31"/>
  <c r="AI63" i="31" s="1"/>
  <c r="AD64" i="31"/>
  <c r="AI64" i="31" s="1"/>
  <c r="AD65" i="31"/>
  <c r="AI65" i="31" s="1"/>
  <c r="AD66" i="31"/>
  <c r="AI66" i="31" s="1"/>
  <c r="AD67" i="31"/>
  <c r="AI67" i="31" s="1"/>
  <c r="AD68" i="31"/>
  <c r="AI68" i="31" s="1"/>
  <c r="AD69" i="31"/>
  <c r="AI69" i="31" s="1"/>
  <c r="AD70" i="31"/>
  <c r="AI70" i="31" s="1"/>
  <c r="AD71" i="31"/>
  <c r="AI71" i="31" s="1"/>
  <c r="AD72" i="31"/>
  <c r="AI72" i="31" s="1"/>
  <c r="AD73" i="31"/>
  <c r="AI73" i="31" s="1"/>
  <c r="AD74" i="31"/>
  <c r="AI74" i="31" s="1"/>
  <c r="AD75" i="31"/>
  <c r="AI75" i="31" s="1"/>
  <c r="AD76" i="31"/>
  <c r="AI76" i="31" s="1"/>
  <c r="AD8" i="31"/>
  <c r="AI8" i="31" s="1"/>
  <c r="AC2" i="25" s="1"/>
  <c r="AB9" i="31"/>
  <c r="AH9" i="31" s="1"/>
  <c r="AB10" i="31"/>
  <c r="AH10" i="31" s="1"/>
  <c r="AB11" i="31"/>
  <c r="AH11" i="31" s="1"/>
  <c r="AB12" i="31"/>
  <c r="AH12" i="31" s="1"/>
  <c r="AB13" i="31"/>
  <c r="AH13" i="31" s="1"/>
  <c r="AB14" i="31"/>
  <c r="AH14" i="31" s="1"/>
  <c r="AB15" i="31"/>
  <c r="AH15" i="31" s="1"/>
  <c r="AB16" i="31"/>
  <c r="AH16" i="31" s="1"/>
  <c r="AB17" i="31"/>
  <c r="AH17" i="31" s="1"/>
  <c r="AB18" i="31"/>
  <c r="AH18" i="31" s="1"/>
  <c r="AB19" i="31"/>
  <c r="AH19" i="31" s="1"/>
  <c r="AB20" i="31"/>
  <c r="AH20" i="31" s="1"/>
  <c r="AB21" i="31"/>
  <c r="AH21" i="31" s="1"/>
  <c r="AB22" i="31"/>
  <c r="AH22" i="31" s="1"/>
  <c r="AB23" i="31"/>
  <c r="AH23" i="31" s="1"/>
  <c r="AB24" i="31"/>
  <c r="AH24" i="31" s="1"/>
  <c r="AB25" i="31"/>
  <c r="AH25" i="31" s="1"/>
  <c r="AB26" i="31"/>
  <c r="AH26" i="31" s="1"/>
  <c r="AB27" i="31"/>
  <c r="AH27" i="31" s="1"/>
  <c r="AB28" i="31"/>
  <c r="AH28" i="31" s="1"/>
  <c r="AB29" i="31"/>
  <c r="AH29" i="31" s="1"/>
  <c r="AB30" i="31"/>
  <c r="AH30" i="31" s="1"/>
  <c r="AB31" i="31"/>
  <c r="AH31" i="31" s="1"/>
  <c r="AB32" i="31"/>
  <c r="AH32" i="31" s="1"/>
  <c r="AB33" i="31"/>
  <c r="AH33" i="31" s="1"/>
  <c r="AB34" i="31"/>
  <c r="AH34" i="31" s="1"/>
  <c r="AB35" i="31"/>
  <c r="AH35" i="31" s="1"/>
  <c r="AB36" i="31"/>
  <c r="AH36" i="31" s="1"/>
  <c r="AB37" i="31"/>
  <c r="AH37" i="31" s="1"/>
  <c r="AB38" i="31"/>
  <c r="AH38" i="31" s="1"/>
  <c r="AB39" i="31"/>
  <c r="AH39" i="31" s="1"/>
  <c r="AB40" i="31"/>
  <c r="AH40" i="31" s="1"/>
  <c r="AB41" i="31"/>
  <c r="AH41" i="31" s="1"/>
  <c r="AB42" i="31"/>
  <c r="AH42" i="31" s="1"/>
  <c r="AB43" i="31"/>
  <c r="AH43" i="31" s="1"/>
  <c r="AB44" i="31"/>
  <c r="AH44" i="31" s="1"/>
  <c r="AB45" i="31"/>
  <c r="AH45" i="31" s="1"/>
  <c r="AB46" i="31"/>
  <c r="AH46" i="31" s="1"/>
  <c r="AB47" i="31"/>
  <c r="AH47" i="31" s="1"/>
  <c r="AB48" i="31"/>
  <c r="AH48" i="31" s="1"/>
  <c r="AB49" i="31"/>
  <c r="AH49" i="31" s="1"/>
  <c r="AB50" i="31"/>
  <c r="AH50" i="31" s="1"/>
  <c r="AB51" i="31"/>
  <c r="AH51" i="31" s="1"/>
  <c r="AB52" i="31"/>
  <c r="AH52" i="31" s="1"/>
  <c r="AB53" i="31"/>
  <c r="AH53" i="31" s="1"/>
  <c r="AB54" i="31"/>
  <c r="AH54" i="31" s="1"/>
  <c r="AB55" i="31"/>
  <c r="AH55" i="31" s="1"/>
  <c r="AB56" i="31"/>
  <c r="AH56" i="31" s="1"/>
  <c r="AB57" i="31"/>
  <c r="AH57" i="31" s="1"/>
  <c r="AB58" i="31"/>
  <c r="AH58" i="31" s="1"/>
  <c r="AB59" i="31"/>
  <c r="AH59" i="31" s="1"/>
  <c r="AB60" i="31"/>
  <c r="AH60" i="31" s="1"/>
  <c r="AB61" i="31"/>
  <c r="AH61" i="31" s="1"/>
  <c r="AB62" i="31"/>
  <c r="AH62" i="31" s="1"/>
  <c r="AB63" i="31"/>
  <c r="AH63" i="31" s="1"/>
  <c r="AB64" i="31"/>
  <c r="AH64" i="31" s="1"/>
  <c r="AB65" i="31"/>
  <c r="AH65" i="31" s="1"/>
  <c r="AB66" i="31"/>
  <c r="AH66" i="31" s="1"/>
  <c r="AB67" i="31"/>
  <c r="AH67" i="31" s="1"/>
  <c r="AB68" i="31"/>
  <c r="AH68" i="31" s="1"/>
  <c r="AB69" i="31"/>
  <c r="AH69" i="31" s="1"/>
  <c r="AB70" i="31"/>
  <c r="AH70" i="31" s="1"/>
  <c r="AB71" i="31"/>
  <c r="AH71" i="31" s="1"/>
  <c r="AB72" i="31"/>
  <c r="AH72" i="31" s="1"/>
  <c r="AB73" i="31"/>
  <c r="AH73" i="31" s="1"/>
  <c r="AB74" i="31"/>
  <c r="AH74" i="31" s="1"/>
  <c r="AB75" i="31"/>
  <c r="AH75" i="31" s="1"/>
  <c r="AB76" i="31"/>
  <c r="AH76" i="31" s="1"/>
  <c r="AB8" i="31"/>
  <c r="AH8" i="31" s="1"/>
  <c r="AB2" i="25" s="1"/>
  <c r="U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5" i="31"/>
  <c r="U26" i="31"/>
  <c r="U27" i="31"/>
  <c r="U28" i="31"/>
  <c r="U29" i="31"/>
  <c r="U30" i="31"/>
  <c r="U31" i="31"/>
  <c r="U32" i="31"/>
  <c r="U33" i="31"/>
  <c r="U34" i="31"/>
  <c r="U35" i="31"/>
  <c r="U36" i="31"/>
  <c r="U37" i="31"/>
  <c r="U38" i="31"/>
  <c r="U39" i="31"/>
  <c r="U40" i="31"/>
  <c r="U41" i="31"/>
  <c r="U42" i="31"/>
  <c r="U43" i="31"/>
  <c r="U44" i="31"/>
  <c r="U45" i="31"/>
  <c r="U46" i="31"/>
  <c r="U47" i="31"/>
  <c r="U48" i="31"/>
  <c r="U49" i="31"/>
  <c r="U50" i="31"/>
  <c r="U51" i="31"/>
  <c r="U52" i="31"/>
  <c r="U53" i="31"/>
  <c r="U54" i="31"/>
  <c r="U55" i="31"/>
  <c r="U56" i="31"/>
  <c r="U57" i="31"/>
  <c r="U58" i="31"/>
  <c r="U59" i="31"/>
  <c r="U60" i="31"/>
  <c r="U61" i="31"/>
  <c r="U62" i="31"/>
  <c r="U63" i="31"/>
  <c r="U64" i="31"/>
  <c r="U65" i="31"/>
  <c r="U66" i="31"/>
  <c r="U67" i="31"/>
  <c r="U68" i="31"/>
  <c r="U69" i="31"/>
  <c r="U70" i="31"/>
  <c r="U71" i="31"/>
  <c r="U72" i="31"/>
  <c r="U73" i="31"/>
  <c r="U74" i="31"/>
  <c r="U75" i="31"/>
  <c r="U76" i="31"/>
  <c r="U8" i="31"/>
  <c r="S1" i="31"/>
  <c r="S2" i="31"/>
  <c r="S3" i="31"/>
  <c r="S4" i="31"/>
  <c r="S5" i="31"/>
  <c r="R5" i="31"/>
  <c r="R4" i="31"/>
  <c r="R3" i="31"/>
  <c r="R2" i="31"/>
  <c r="V62" i="31" s="1"/>
  <c r="R1" i="31"/>
  <c r="W36" i="31" l="1"/>
  <c r="V21" i="31"/>
  <c r="W68" i="31"/>
  <c r="W24" i="31"/>
  <c r="V14" i="31"/>
  <c r="W48" i="31"/>
  <c r="V69" i="31"/>
  <c r="V37" i="31"/>
  <c r="W52" i="31"/>
  <c r="W16" i="31"/>
  <c r="V30" i="31"/>
  <c r="W20" i="31"/>
  <c r="V10" i="31"/>
  <c r="V8" i="31"/>
  <c r="V61" i="31"/>
  <c r="V45" i="31"/>
  <c r="V29" i="31"/>
  <c r="V13" i="31"/>
  <c r="W64" i="31"/>
  <c r="W40" i="31"/>
  <c r="V53" i="31"/>
  <c r="V46" i="31"/>
  <c r="V70" i="31"/>
  <c r="V54" i="31"/>
  <c r="V38" i="31"/>
  <c r="V22" i="31"/>
  <c r="W56" i="31"/>
  <c r="V74" i="31"/>
  <c r="V66" i="31"/>
  <c r="V58" i="31"/>
  <c r="V50" i="31"/>
  <c r="V42" i="31"/>
  <c r="V34" i="31"/>
  <c r="V26" i="31"/>
  <c r="V18" i="31"/>
  <c r="W76" i="31"/>
  <c r="W63" i="31"/>
  <c r="W32" i="31"/>
  <c r="V11" i="31"/>
  <c r="V15" i="31"/>
  <c r="V19" i="31"/>
  <c r="V23" i="31"/>
  <c r="V27" i="31"/>
  <c r="V31" i="31"/>
  <c r="V35" i="31"/>
  <c r="V39" i="31"/>
  <c r="V43" i="31"/>
  <c r="V47" i="31"/>
  <c r="V51" i="31"/>
  <c r="V55" i="31"/>
  <c r="V59" i="31"/>
  <c r="V63" i="31"/>
  <c r="V67" i="31"/>
  <c r="V71" i="31"/>
  <c r="V75" i="31"/>
  <c r="V12" i="31"/>
  <c r="V16" i="31"/>
  <c r="V20" i="31"/>
  <c r="V24" i="31"/>
  <c r="V28" i="31"/>
  <c r="V32" i="31"/>
  <c r="V36" i="31"/>
  <c r="V40" i="31"/>
  <c r="V44" i="31"/>
  <c r="V48" i="31"/>
  <c r="V52" i="31"/>
  <c r="V56" i="31"/>
  <c r="V60" i="31"/>
  <c r="V64" i="31"/>
  <c r="V68" i="31"/>
  <c r="V72" i="31"/>
  <c r="V76" i="31"/>
  <c r="W9" i="31"/>
  <c r="W13" i="31"/>
  <c r="W17" i="31"/>
  <c r="W21" i="31"/>
  <c r="W25" i="31"/>
  <c r="W29" i="31"/>
  <c r="W33" i="31"/>
  <c r="W37" i="31"/>
  <c r="W41" i="31"/>
  <c r="W45" i="31"/>
  <c r="W49" i="31"/>
  <c r="W53" i="31"/>
  <c r="W57" i="31"/>
  <c r="W61" i="31"/>
  <c r="W65" i="31"/>
  <c r="W69" i="31"/>
  <c r="W73" i="31"/>
  <c r="W8" i="31"/>
  <c r="W10" i="31"/>
  <c r="W14" i="31"/>
  <c r="W18" i="31"/>
  <c r="W22" i="31"/>
  <c r="W26" i="31"/>
  <c r="W30" i="31"/>
  <c r="W34" i="31"/>
  <c r="W38" i="31"/>
  <c r="W42" i="31"/>
  <c r="W46" i="31"/>
  <c r="W50" i="31"/>
  <c r="W54" i="31"/>
  <c r="W58" i="31"/>
  <c r="W62" i="31"/>
  <c r="W66" i="31"/>
  <c r="W70" i="31"/>
  <c r="W74" i="31"/>
  <c r="W11" i="31"/>
  <c r="W15" i="31"/>
  <c r="W19" i="31"/>
  <c r="W23" i="31"/>
  <c r="W27" i="31"/>
  <c r="W31" i="31"/>
  <c r="W35" i="31"/>
  <c r="W39" i="31"/>
  <c r="W43" i="31"/>
  <c r="W47" i="31"/>
  <c r="W51" i="31"/>
  <c r="W55" i="31"/>
  <c r="W59" i="31"/>
  <c r="W67" i="31"/>
  <c r="W71" i="31"/>
  <c r="W75" i="31"/>
  <c r="V73" i="31"/>
  <c r="V65" i="31"/>
  <c r="V57" i="31"/>
  <c r="V49" i="31"/>
  <c r="V41" i="31"/>
  <c r="V33" i="31"/>
  <c r="V25" i="31"/>
  <c r="V17" i="31"/>
  <c r="V9" i="31"/>
  <c r="W72" i="31"/>
  <c r="W60" i="31"/>
  <c r="W44" i="31"/>
  <c r="W28" i="31"/>
  <c r="W12" i="31"/>
  <c r="P3" i="30"/>
  <c r="P4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P66" i="30"/>
  <c r="P67" i="30"/>
  <c r="P68" i="30"/>
  <c r="P69" i="30"/>
  <c r="O3" i="30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O66" i="30"/>
  <c r="O67" i="30"/>
  <c r="O68" i="30"/>
  <c r="O69" i="30"/>
  <c r="P2" i="30"/>
  <c r="O2" i="30"/>
  <c r="AD2" i="15" l="1"/>
  <c r="AB2" i="15"/>
  <c r="V9" i="29" l="1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30" i="29"/>
  <c r="V31" i="29"/>
  <c r="V32" i="29"/>
  <c r="V33" i="29"/>
  <c r="V34" i="29"/>
  <c r="V35" i="29"/>
  <c r="V36" i="29"/>
  <c r="V37" i="29"/>
  <c r="V38" i="29"/>
  <c r="V39" i="29"/>
  <c r="V40" i="29"/>
  <c r="V41" i="29"/>
  <c r="V42" i="29"/>
  <c r="V43" i="29"/>
  <c r="V44" i="29"/>
  <c r="V45" i="29"/>
  <c r="V46" i="29"/>
  <c r="V47" i="29"/>
  <c r="V48" i="29"/>
  <c r="V49" i="29"/>
  <c r="V50" i="29"/>
  <c r="V51" i="29"/>
  <c r="V52" i="29"/>
  <c r="V53" i="29"/>
  <c r="V54" i="29"/>
  <c r="V55" i="29"/>
  <c r="V56" i="29"/>
  <c r="V57" i="29"/>
  <c r="V58" i="29"/>
  <c r="V59" i="29"/>
  <c r="V60" i="29"/>
  <c r="V61" i="29"/>
  <c r="V62" i="29"/>
  <c r="V63" i="29"/>
  <c r="V64" i="29"/>
  <c r="V65" i="29"/>
  <c r="V66" i="29"/>
  <c r="V67" i="29"/>
  <c r="V68" i="29"/>
  <c r="V69" i="29"/>
  <c r="V70" i="29"/>
  <c r="V71" i="29"/>
  <c r="V72" i="29"/>
  <c r="V73" i="29"/>
  <c r="V74" i="29"/>
  <c r="V75" i="29"/>
  <c r="V76" i="29"/>
  <c r="V77" i="29"/>
  <c r="V78" i="29"/>
  <c r="V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0" i="29"/>
  <c r="U61" i="29"/>
  <c r="U62" i="29"/>
  <c r="U63" i="29"/>
  <c r="U64" i="29"/>
  <c r="U65" i="29"/>
  <c r="U66" i="29"/>
  <c r="U67" i="29"/>
  <c r="U68" i="29"/>
  <c r="U69" i="29"/>
  <c r="U70" i="29"/>
  <c r="U71" i="29"/>
  <c r="U72" i="29"/>
  <c r="U73" i="29"/>
  <c r="U74" i="29"/>
  <c r="U75" i="29"/>
  <c r="U76" i="29"/>
  <c r="U77" i="29"/>
  <c r="U78" i="29"/>
  <c r="U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30" i="29"/>
  <c r="T31" i="29"/>
  <c r="T32" i="29"/>
  <c r="T33" i="29"/>
  <c r="T34" i="29"/>
  <c r="T35" i="29"/>
  <c r="T36" i="29"/>
  <c r="T37" i="29"/>
  <c r="T38" i="29"/>
  <c r="T39" i="29"/>
  <c r="T40" i="29"/>
  <c r="T41" i="29"/>
  <c r="T42" i="29"/>
  <c r="T43" i="29"/>
  <c r="T44" i="29"/>
  <c r="T45" i="29"/>
  <c r="T46" i="29"/>
  <c r="T47" i="29"/>
  <c r="T48" i="29"/>
  <c r="T49" i="29"/>
  <c r="T50" i="29"/>
  <c r="T51" i="29"/>
  <c r="T52" i="29"/>
  <c r="T53" i="29"/>
  <c r="T54" i="29"/>
  <c r="T55" i="29"/>
  <c r="T56" i="29"/>
  <c r="T57" i="29"/>
  <c r="T58" i="29"/>
  <c r="T59" i="29"/>
  <c r="T60" i="29"/>
  <c r="T61" i="29"/>
  <c r="T62" i="29"/>
  <c r="T63" i="29"/>
  <c r="T64" i="29"/>
  <c r="T65" i="29"/>
  <c r="T66" i="29"/>
  <c r="T67" i="29"/>
  <c r="T68" i="29"/>
  <c r="T69" i="29"/>
  <c r="T70" i="29"/>
  <c r="T71" i="29"/>
  <c r="T72" i="29"/>
  <c r="T73" i="29"/>
  <c r="T74" i="29"/>
  <c r="T75" i="29"/>
  <c r="T76" i="29"/>
  <c r="T77" i="29"/>
  <c r="T78" i="29"/>
  <c r="T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28" i="29"/>
  <c r="O30" i="29"/>
  <c r="O31" i="29"/>
  <c r="O32" i="29"/>
  <c r="O33" i="29"/>
  <c r="O34" i="29"/>
  <c r="O35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O74" i="29"/>
  <c r="O75" i="29"/>
  <c r="O76" i="29"/>
  <c r="O77" i="29"/>
  <c r="O78" i="29"/>
  <c r="O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8" i="29"/>
  <c r="H5" i="29"/>
  <c r="H4" i="29"/>
  <c r="H3" i="29"/>
  <c r="H2" i="29"/>
  <c r="S9" i="29" s="1"/>
  <c r="H1" i="29"/>
  <c r="G5" i="29"/>
  <c r="G4" i="29"/>
  <c r="G3" i="29"/>
  <c r="G2" i="29"/>
  <c r="R42" i="29" s="1"/>
  <c r="G1" i="29"/>
  <c r="F5" i="29"/>
  <c r="F4" i="29"/>
  <c r="F3" i="29"/>
  <c r="F2" i="29"/>
  <c r="F1" i="29"/>
  <c r="E5" i="29"/>
  <c r="E4" i="29"/>
  <c r="E3" i="29"/>
  <c r="E2" i="29"/>
  <c r="E1" i="29"/>
  <c r="Q9" i="29" l="1"/>
  <c r="R58" i="29"/>
  <c r="R21" i="29"/>
  <c r="S56" i="29"/>
  <c r="R78" i="29"/>
  <c r="S48" i="29"/>
  <c r="Q72" i="29"/>
  <c r="Q56" i="29"/>
  <c r="Q40" i="29"/>
  <c r="Q23" i="29"/>
  <c r="Q68" i="29"/>
  <c r="Q52" i="29"/>
  <c r="Q36" i="29"/>
  <c r="Q19" i="29"/>
  <c r="R74" i="29"/>
  <c r="R54" i="29"/>
  <c r="R17" i="29"/>
  <c r="Q64" i="29"/>
  <c r="Q48" i="29"/>
  <c r="Q32" i="29"/>
  <c r="R66" i="29"/>
  <c r="R50" i="29"/>
  <c r="R10" i="29"/>
  <c r="S32" i="29"/>
  <c r="Q76" i="29"/>
  <c r="Q60" i="29"/>
  <c r="Q44" i="29"/>
  <c r="Q27" i="29"/>
  <c r="Q12" i="29"/>
  <c r="R62" i="29"/>
  <c r="S68" i="29"/>
  <c r="S19" i="29"/>
  <c r="P11" i="29"/>
  <c r="P15" i="29"/>
  <c r="P18" i="29"/>
  <c r="P22" i="29"/>
  <c r="P26" i="29"/>
  <c r="P31" i="29"/>
  <c r="P35" i="29"/>
  <c r="P39" i="29"/>
  <c r="P43" i="29"/>
  <c r="P47" i="29"/>
  <c r="P51" i="29"/>
  <c r="P55" i="29"/>
  <c r="P59" i="29"/>
  <c r="P63" i="29"/>
  <c r="P67" i="29"/>
  <c r="P71" i="29"/>
  <c r="P75" i="29"/>
  <c r="P14" i="29"/>
  <c r="P17" i="29"/>
  <c r="P30" i="29"/>
  <c r="P38" i="29"/>
  <c r="P54" i="29"/>
  <c r="P66" i="29"/>
  <c r="P74" i="29"/>
  <c r="P12" i="29"/>
  <c r="P19" i="29"/>
  <c r="P23" i="29"/>
  <c r="P27" i="29"/>
  <c r="P32" i="29"/>
  <c r="P36" i="29"/>
  <c r="P40" i="29"/>
  <c r="P44" i="29"/>
  <c r="P48" i="29"/>
  <c r="P52" i="29"/>
  <c r="P56" i="29"/>
  <c r="P60" i="29"/>
  <c r="P64" i="29"/>
  <c r="P68" i="29"/>
  <c r="P72" i="29"/>
  <c r="P76" i="29"/>
  <c r="P25" i="29"/>
  <c r="P46" i="29"/>
  <c r="P58" i="29"/>
  <c r="P78" i="29"/>
  <c r="P9" i="29"/>
  <c r="P13" i="29"/>
  <c r="P16" i="29"/>
  <c r="P20" i="29"/>
  <c r="P24" i="29"/>
  <c r="P28" i="29"/>
  <c r="P33" i="29"/>
  <c r="P37" i="29"/>
  <c r="P41" i="29"/>
  <c r="P45" i="29"/>
  <c r="P49" i="29"/>
  <c r="P53" i="29"/>
  <c r="P57" i="29"/>
  <c r="P61" i="29"/>
  <c r="P65" i="29"/>
  <c r="P69" i="29"/>
  <c r="P73" i="29"/>
  <c r="P77" i="29"/>
  <c r="P10" i="29"/>
  <c r="P21" i="29"/>
  <c r="P34" i="29"/>
  <c r="P42" i="29"/>
  <c r="P50" i="29"/>
  <c r="P62" i="29"/>
  <c r="P70" i="29"/>
  <c r="P8" i="29"/>
  <c r="R25" i="29"/>
  <c r="R30" i="29"/>
  <c r="R46" i="29"/>
  <c r="R34" i="29"/>
  <c r="R14" i="29"/>
  <c r="R38" i="29"/>
  <c r="R70" i="29"/>
  <c r="R11" i="29"/>
  <c r="S52" i="29"/>
  <c r="S60" i="29"/>
  <c r="S76" i="29"/>
  <c r="S12" i="29"/>
  <c r="S23" i="29"/>
  <c r="S27" i="29"/>
  <c r="S36" i="29"/>
  <c r="S40" i="29"/>
  <c r="S44" i="29"/>
  <c r="S64" i="29"/>
  <c r="S72" i="29"/>
  <c r="Q8" i="29"/>
  <c r="Q75" i="29"/>
  <c r="Q71" i="29"/>
  <c r="Q67" i="29"/>
  <c r="Q63" i="29"/>
  <c r="Q59" i="29"/>
  <c r="Q55" i="29"/>
  <c r="Q51" i="29"/>
  <c r="Q47" i="29"/>
  <c r="Q43" i="29"/>
  <c r="Q39" i="29"/>
  <c r="Q35" i="29"/>
  <c r="Q31" i="29"/>
  <c r="Q26" i="29"/>
  <c r="Q22" i="29"/>
  <c r="Q18" i="29"/>
  <c r="Q15" i="29"/>
  <c r="Q11" i="29"/>
  <c r="R77" i="29"/>
  <c r="R73" i="29"/>
  <c r="R69" i="29"/>
  <c r="R65" i="29"/>
  <c r="R61" i="29"/>
  <c r="R57" i="29"/>
  <c r="R53" i="29"/>
  <c r="R49" i="29"/>
  <c r="R45" i="29"/>
  <c r="R41" i="29"/>
  <c r="R37" i="29"/>
  <c r="R33" i="29"/>
  <c r="R28" i="29"/>
  <c r="R24" i="29"/>
  <c r="R20" i="29"/>
  <c r="R16" i="29"/>
  <c r="R13" i="29"/>
  <c r="R9" i="29"/>
  <c r="S75" i="29"/>
  <c r="S71" i="29"/>
  <c r="S67" i="29"/>
  <c r="S63" i="29"/>
  <c r="S59" i="29"/>
  <c r="S55" i="29"/>
  <c r="S51" i="29"/>
  <c r="S47" i="29"/>
  <c r="S43" i="29"/>
  <c r="S39" i="29"/>
  <c r="S35" i="29"/>
  <c r="S31" i="29"/>
  <c r="S26" i="29"/>
  <c r="S22" i="29"/>
  <c r="S18" i="29"/>
  <c r="S15" i="29"/>
  <c r="S11" i="29"/>
  <c r="R8" i="29"/>
  <c r="Q78" i="29"/>
  <c r="Q74" i="29"/>
  <c r="Q70" i="29"/>
  <c r="Q66" i="29"/>
  <c r="Q62" i="29"/>
  <c r="Q58" i="29"/>
  <c r="Q54" i="29"/>
  <c r="Q50" i="29"/>
  <c r="Q46" i="29"/>
  <c r="Q42" i="29"/>
  <c r="Q38" i="29"/>
  <c r="Q34" i="29"/>
  <c r="Q30" i="29"/>
  <c r="Q25" i="29"/>
  <c r="Q21" i="29"/>
  <c r="Q17" i="29"/>
  <c r="Q14" i="29"/>
  <c r="Q10" i="29"/>
  <c r="R76" i="29"/>
  <c r="R72" i="29"/>
  <c r="R68" i="29"/>
  <c r="R64" i="29"/>
  <c r="R60" i="29"/>
  <c r="R56" i="29"/>
  <c r="R52" i="29"/>
  <c r="R48" i="29"/>
  <c r="R44" i="29"/>
  <c r="R40" i="29"/>
  <c r="R36" i="29"/>
  <c r="R32" i="29"/>
  <c r="R27" i="29"/>
  <c r="R23" i="29"/>
  <c r="R19" i="29"/>
  <c r="R12" i="29"/>
  <c r="S78" i="29"/>
  <c r="S74" i="29"/>
  <c r="S70" i="29"/>
  <c r="S66" i="29"/>
  <c r="S62" i="29"/>
  <c r="S58" i="29"/>
  <c r="S54" i="29"/>
  <c r="S50" i="29"/>
  <c r="S46" i="29"/>
  <c r="S42" i="29"/>
  <c r="S38" i="29"/>
  <c r="S34" i="29"/>
  <c r="S30" i="29"/>
  <c r="S25" i="29"/>
  <c r="S21" i="29"/>
  <c r="S17" i="29"/>
  <c r="S14" i="29"/>
  <c r="S10" i="29"/>
  <c r="S8" i="29"/>
  <c r="Q77" i="29"/>
  <c r="Q73" i="29"/>
  <c r="Q69" i="29"/>
  <c r="Q65" i="29"/>
  <c r="Q61" i="29"/>
  <c r="Q57" i="29"/>
  <c r="Q53" i="29"/>
  <c r="Q49" i="29"/>
  <c r="Q45" i="29"/>
  <c r="Q41" i="29"/>
  <c r="Q37" i="29"/>
  <c r="Q33" i="29"/>
  <c r="Q28" i="29"/>
  <c r="Q24" i="29"/>
  <c r="Q20" i="29"/>
  <c r="Q16" i="29"/>
  <c r="Q13" i="29"/>
  <c r="R75" i="29"/>
  <c r="R71" i="29"/>
  <c r="R67" i="29"/>
  <c r="R63" i="29"/>
  <c r="R59" i="29"/>
  <c r="R55" i="29"/>
  <c r="R51" i="29"/>
  <c r="R47" i="29"/>
  <c r="R43" i="29"/>
  <c r="R39" i="29"/>
  <c r="R35" i="29"/>
  <c r="R31" i="29"/>
  <c r="R26" i="29"/>
  <c r="R22" i="29"/>
  <c r="R18" i="29"/>
  <c r="R15" i="29"/>
  <c r="S77" i="29"/>
  <c r="S73" i="29"/>
  <c r="S69" i="29"/>
  <c r="S65" i="29"/>
  <c r="S61" i="29"/>
  <c r="S57" i="29"/>
  <c r="S53" i="29"/>
  <c r="S49" i="29"/>
  <c r="S45" i="29"/>
  <c r="S41" i="29"/>
  <c r="S37" i="29"/>
  <c r="S33" i="29"/>
  <c r="S28" i="29"/>
  <c r="S24" i="29"/>
  <c r="S20" i="29"/>
  <c r="S16" i="29"/>
  <c r="S13" i="29"/>
  <c r="AD2" i="12" l="1"/>
  <c r="AA5" i="30" l="1"/>
  <c r="AA9" i="30"/>
  <c r="AK68" i="12" s="1"/>
  <c r="AA13" i="30"/>
  <c r="AA17" i="30"/>
  <c r="AA21" i="30"/>
  <c r="AA28" i="30"/>
  <c r="AA32" i="30"/>
  <c r="AA36" i="30"/>
  <c r="AA40" i="30"/>
  <c r="AA44" i="30"/>
  <c r="AA48" i="30"/>
  <c r="AA52" i="30"/>
  <c r="AA56" i="30"/>
  <c r="AA60" i="30"/>
  <c r="AA64" i="30"/>
  <c r="AA68" i="30"/>
  <c r="Z3" i="30"/>
  <c r="Z7" i="30"/>
  <c r="Z11" i="30"/>
  <c r="Z15" i="30"/>
  <c r="Z19" i="30"/>
  <c r="Z23" i="30"/>
  <c r="Z26" i="30"/>
  <c r="Z30" i="30"/>
  <c r="Z34" i="30"/>
  <c r="Z38" i="30"/>
  <c r="Z42" i="30"/>
  <c r="Z46" i="30"/>
  <c r="Z50" i="30"/>
  <c r="Z54" i="30"/>
  <c r="Z58" i="30"/>
  <c r="Z62" i="30"/>
  <c r="Z66" i="30"/>
  <c r="Y5" i="30"/>
  <c r="Y9" i="30"/>
  <c r="AI68" i="12" s="1"/>
  <c r="Y13" i="30"/>
  <c r="Y17" i="30"/>
  <c r="Y21" i="30"/>
  <c r="Y28" i="30"/>
  <c r="Y32" i="30"/>
  <c r="Y36" i="30"/>
  <c r="Y40" i="30"/>
  <c r="Y44" i="30"/>
  <c r="Y48" i="30"/>
  <c r="Y52" i="30"/>
  <c r="Y56" i="30"/>
  <c r="Y60" i="30"/>
  <c r="Y64" i="30"/>
  <c r="Y68" i="30"/>
  <c r="Y2" i="30"/>
  <c r="AA12" i="30"/>
  <c r="AA20" i="30"/>
  <c r="AA24" i="30"/>
  <c r="AA31" i="30"/>
  <c r="AA39" i="30"/>
  <c r="AA51" i="30"/>
  <c r="AA59" i="30"/>
  <c r="Z14" i="30"/>
  <c r="Z22" i="30"/>
  <c r="Z29" i="30"/>
  <c r="Z41" i="30"/>
  <c r="Z53" i="30"/>
  <c r="Z61" i="30"/>
  <c r="AA6" i="30"/>
  <c r="AA10" i="30"/>
  <c r="AA14" i="30"/>
  <c r="AA18" i="30"/>
  <c r="AA22" i="30"/>
  <c r="AA25" i="30"/>
  <c r="AA29" i="30"/>
  <c r="AA33" i="30"/>
  <c r="AK31" i="12" s="1"/>
  <c r="AA37" i="30"/>
  <c r="AA41" i="30"/>
  <c r="AA45" i="30"/>
  <c r="AA49" i="30"/>
  <c r="AA53" i="30"/>
  <c r="AA57" i="30"/>
  <c r="AA61" i="30"/>
  <c r="AA65" i="30"/>
  <c r="AA69" i="30"/>
  <c r="Z4" i="30"/>
  <c r="Z8" i="30"/>
  <c r="Z12" i="30"/>
  <c r="Z16" i="30"/>
  <c r="Z20" i="30"/>
  <c r="Z24" i="30"/>
  <c r="Z27" i="30"/>
  <c r="Z31" i="30"/>
  <c r="Z35" i="30"/>
  <c r="Z39" i="30"/>
  <c r="Z43" i="30"/>
  <c r="Z47" i="30"/>
  <c r="Z51" i="30"/>
  <c r="Z55" i="30"/>
  <c r="Z59" i="30"/>
  <c r="AJ44" i="12" s="1"/>
  <c r="Z63" i="30"/>
  <c r="Z67" i="30"/>
  <c r="Y6" i="30"/>
  <c r="Y10" i="30"/>
  <c r="Y14" i="30"/>
  <c r="Y18" i="30"/>
  <c r="Y22" i="30"/>
  <c r="Y25" i="30"/>
  <c r="Y29" i="30"/>
  <c r="Y33" i="30"/>
  <c r="Y37" i="30"/>
  <c r="Y41" i="30"/>
  <c r="Y45" i="30"/>
  <c r="Y49" i="30"/>
  <c r="Y53" i="30"/>
  <c r="Y57" i="30"/>
  <c r="Y61" i="30"/>
  <c r="Y65" i="30"/>
  <c r="Y69" i="30"/>
  <c r="AH68" i="12"/>
  <c r="AA4" i="30"/>
  <c r="AA43" i="30"/>
  <c r="AA63" i="30"/>
  <c r="Z6" i="30"/>
  <c r="Z18" i="30"/>
  <c r="Z33" i="30"/>
  <c r="Z45" i="30"/>
  <c r="Z57" i="30"/>
  <c r="Z69" i="30"/>
  <c r="AA3" i="30"/>
  <c r="AA7" i="30"/>
  <c r="AA11" i="30"/>
  <c r="AA15" i="30"/>
  <c r="AA19" i="30"/>
  <c r="AA23" i="30"/>
  <c r="AA26" i="30"/>
  <c r="AA30" i="30"/>
  <c r="AA34" i="30"/>
  <c r="AA38" i="30"/>
  <c r="AA42" i="30"/>
  <c r="AA46" i="30"/>
  <c r="AA50" i="30"/>
  <c r="AA54" i="30"/>
  <c r="AA58" i="30"/>
  <c r="AA62" i="30"/>
  <c r="AA66" i="30"/>
  <c r="Z5" i="30"/>
  <c r="Z9" i="30"/>
  <c r="AJ68" i="12" s="1"/>
  <c r="Z13" i="30"/>
  <c r="Z17" i="30"/>
  <c r="Z21" i="30"/>
  <c r="Z28" i="30"/>
  <c r="Z32" i="30"/>
  <c r="Z36" i="30"/>
  <c r="Z40" i="30"/>
  <c r="Z44" i="30"/>
  <c r="Z48" i="30"/>
  <c r="Z52" i="30"/>
  <c r="Z56" i="30"/>
  <c r="Z60" i="30"/>
  <c r="Z64" i="30"/>
  <c r="Z68" i="30"/>
  <c r="Y3" i="30"/>
  <c r="Y7" i="30"/>
  <c r="Y11" i="30"/>
  <c r="Y15" i="30"/>
  <c r="Y19" i="30"/>
  <c r="Y23" i="30"/>
  <c r="Y26" i="30"/>
  <c r="Y30" i="30"/>
  <c r="Y34" i="30"/>
  <c r="Y38" i="30"/>
  <c r="Y42" i="30"/>
  <c r="Y46" i="30"/>
  <c r="Y50" i="30"/>
  <c r="Y54" i="30"/>
  <c r="Y58" i="30"/>
  <c r="Y62" i="30"/>
  <c r="AI33" i="12" s="1"/>
  <c r="Y66" i="30"/>
  <c r="AA2" i="30"/>
  <c r="AA8" i="30"/>
  <c r="AA16" i="30"/>
  <c r="AA27" i="30"/>
  <c r="AA35" i="30"/>
  <c r="AA47" i="30"/>
  <c r="AA55" i="30"/>
  <c r="AA67" i="30"/>
  <c r="Z10" i="30"/>
  <c r="Z25" i="30"/>
  <c r="Z37" i="30"/>
  <c r="Z49" i="30"/>
  <c r="Z65" i="30"/>
  <c r="Y8" i="30"/>
  <c r="Y4" i="30"/>
  <c r="Y24" i="30"/>
  <c r="Y39" i="30"/>
  <c r="AI32" i="12" s="1"/>
  <c r="Y55" i="30"/>
  <c r="Z2" i="30"/>
  <c r="Y16" i="30"/>
  <c r="Y63" i="30"/>
  <c r="Y35" i="30"/>
  <c r="Y67" i="30"/>
  <c r="AH29" i="12"/>
  <c r="Y12" i="30"/>
  <c r="Y27" i="30"/>
  <c r="Y43" i="30"/>
  <c r="Y59" i="30"/>
  <c r="Y31" i="30"/>
  <c r="Y47" i="30"/>
  <c r="Y20" i="30"/>
  <c r="Y51" i="30"/>
  <c r="AH13" i="12"/>
  <c r="AJ7" i="12" l="1"/>
  <c r="AI50" i="12"/>
  <c r="AI11" i="12"/>
  <c r="AJ4" i="12"/>
  <c r="AJ20" i="12"/>
  <c r="AI29" i="12"/>
  <c r="AH26" i="12"/>
  <c r="AJ36" i="12"/>
  <c r="AH3" i="12"/>
  <c r="AH62" i="12"/>
  <c r="AH57" i="12"/>
  <c r="AI13" i="12"/>
  <c r="AK47" i="12"/>
  <c r="AJ50" i="12"/>
  <c r="AI57" i="12"/>
  <c r="AJ13" i="12"/>
  <c r="AH49" i="12"/>
  <c r="AH5" i="12"/>
  <c r="AK50" i="12"/>
  <c r="AK45" i="12"/>
  <c r="AK13" i="12"/>
  <c r="AK44" i="12"/>
  <c r="AI27" i="12"/>
  <c r="AH9" i="12"/>
  <c r="AK26" i="12"/>
  <c r="AH36" i="12"/>
  <c r="AH50" i="12"/>
  <c r="AI26" i="12"/>
  <c r="AJ26" i="12"/>
  <c r="AI51" i="12"/>
  <c r="AI25" i="12"/>
  <c r="AJ10" i="12"/>
  <c r="AK58" i="12"/>
  <c r="AI59" i="12"/>
  <c r="AI2" i="12"/>
  <c r="AK36" i="12"/>
  <c r="AJ24" i="12"/>
  <c r="AK18" i="12"/>
  <c r="AK38" i="12"/>
  <c r="AJ56" i="12"/>
  <c r="AI16" i="12"/>
  <c r="AH66" i="12"/>
  <c r="AI45" i="12"/>
  <c r="AH15" i="12"/>
  <c r="AH23" i="12"/>
  <c r="AI6" i="12"/>
  <c r="AH30" i="12"/>
  <c r="AH67" i="12"/>
  <c r="AH25" i="12"/>
  <c r="AJ55" i="12"/>
  <c r="AH18" i="12"/>
  <c r="AI44" i="12"/>
  <c r="AH28" i="12"/>
  <c r="AK30" i="12"/>
  <c r="AH46" i="12"/>
  <c r="AI48" i="12"/>
  <c r="AI28" i="12"/>
  <c r="AJ62" i="12"/>
  <c r="AJ11" i="12"/>
  <c r="AH34" i="12"/>
  <c r="AJ61" i="12"/>
  <c r="AH48" i="12"/>
  <c r="AI58" i="12"/>
  <c r="AH47" i="12"/>
  <c r="AK5" i="12"/>
  <c r="AK9" i="12"/>
  <c r="AI38" i="12"/>
  <c r="AH38" i="12"/>
  <c r="AH53" i="12"/>
  <c r="AK56" i="12"/>
  <c r="AH44" i="12"/>
  <c r="AH11" i="12"/>
  <c r="AI42" i="12"/>
  <c r="AH17" i="12"/>
  <c r="AH35" i="12"/>
  <c r="AH12" i="12"/>
  <c r="AH37" i="12"/>
  <c r="AH59" i="12"/>
  <c r="AH2" i="12"/>
  <c r="AK46" i="12"/>
  <c r="AH51" i="12"/>
  <c r="AI65" i="12"/>
  <c r="AI35" i="12"/>
  <c r="AH42" i="12"/>
  <c r="AK55" i="12"/>
  <c r="AJ57" i="12"/>
  <c r="AJ40" i="12"/>
  <c r="AJ42" i="12"/>
  <c r="AK39" i="12"/>
  <c r="AJ46" i="12"/>
  <c r="AK42" i="12"/>
  <c r="AK22" i="12"/>
  <c r="AK41" i="12"/>
  <c r="AJ18" i="12"/>
  <c r="AK8" i="12"/>
  <c r="AK43" i="12"/>
  <c r="AK21" i="12"/>
  <c r="AK34" i="12"/>
  <c r="AJ31" i="12"/>
  <c r="AJ58" i="12"/>
  <c r="AK57" i="12"/>
  <c r="AK33" i="12"/>
  <c r="AK25" i="12"/>
  <c r="AK52" i="12"/>
  <c r="AK15" i="12"/>
  <c r="AK19" i="12"/>
  <c r="AK4" i="12"/>
  <c r="AK12" i="12"/>
  <c r="AK67" i="12"/>
  <c r="AJ27" i="12"/>
  <c r="AJ15" i="12"/>
  <c r="AK3" i="12"/>
  <c r="AK48" i="12"/>
  <c r="AI63" i="12"/>
  <c r="AK49" i="12"/>
  <c r="AI10" i="12"/>
  <c r="AK53" i="12"/>
  <c r="AJ54" i="12"/>
  <c r="AJ22" i="12"/>
  <c r="AK24" i="12"/>
  <c r="AI62" i="12"/>
  <c r="AK37" i="12"/>
  <c r="AI39" i="12"/>
  <c r="AK6" i="12"/>
  <c r="AI18" i="12"/>
  <c r="AI49" i="12"/>
  <c r="AJ8" i="12"/>
  <c r="AJ43" i="12"/>
  <c r="AJ21" i="12"/>
  <c r="AK51" i="12"/>
  <c r="AJ3" i="12"/>
  <c r="AJ39" i="12"/>
  <c r="AK23" i="12"/>
  <c r="AK61" i="12"/>
  <c r="AJ48" i="12"/>
  <c r="AK32" i="12"/>
  <c r="AK11" i="12"/>
  <c r="AI36" i="12"/>
  <c r="AJ34" i="12"/>
  <c r="AK59" i="12"/>
  <c r="AK27" i="12"/>
  <c r="AK2" i="12"/>
  <c r="AK16" i="12"/>
  <c r="AI60" i="12"/>
  <c r="AK17" i="12"/>
  <c r="AK66" i="12"/>
  <c r="AK64" i="12"/>
  <c r="AK35" i="12"/>
  <c r="AI31" i="12"/>
  <c r="AI14" i="12"/>
  <c r="AI30" i="12"/>
  <c r="AK65" i="12"/>
  <c r="AI64" i="12"/>
  <c r="AJ2" i="12"/>
  <c r="AJ16" i="12"/>
  <c r="AK29" i="12"/>
  <c r="AK62" i="12"/>
  <c r="AK54" i="12"/>
  <c r="AI15" i="12"/>
  <c r="AI23" i="12"/>
  <c r="AI61" i="12"/>
  <c r="AJ30" i="12"/>
  <c r="AK28" i="12"/>
  <c r="AK63" i="12"/>
  <c r="AK60" i="12"/>
  <c r="AJ19" i="12"/>
  <c r="AK14" i="12"/>
  <c r="AK20" i="12"/>
  <c r="AK7" i="12"/>
  <c r="AK10" i="12"/>
  <c r="AK40" i="12"/>
  <c r="AH60" i="12"/>
  <c r="AH8" i="12"/>
  <c r="AH43" i="12"/>
  <c r="AH21" i="12"/>
  <c r="AI4" i="12"/>
  <c r="AI22" i="12"/>
  <c r="AI47" i="12"/>
  <c r="AJ32" i="12"/>
  <c r="AJ65" i="12"/>
  <c r="AJ12" i="12"/>
  <c r="AJ63" i="12"/>
  <c r="AH24" i="12"/>
  <c r="AI20" i="12"/>
  <c r="AI7" i="12"/>
  <c r="AI40" i="12"/>
  <c r="AJ49" i="12"/>
  <c r="AI3" i="12"/>
  <c r="AH6" i="12"/>
  <c r="AH54" i="12"/>
  <c r="AH52" i="12"/>
  <c r="AH4" i="12"/>
  <c r="AH22" i="12"/>
  <c r="AI54" i="12"/>
  <c r="AI41" i="12"/>
  <c r="AI24" i="12"/>
  <c r="AJ28" i="12"/>
  <c r="AH56" i="12"/>
  <c r="AH55" i="12"/>
  <c r="AJ53" i="12"/>
  <c r="AJ38" i="12"/>
  <c r="AH27" i="12"/>
  <c r="AA2" i="12" s="1"/>
  <c r="AH16" i="12"/>
  <c r="AI12" i="12"/>
  <c r="AI56" i="12"/>
  <c r="AI55" i="12"/>
  <c r="AI37" i="12"/>
  <c r="AJ41" i="12"/>
  <c r="AJ45" i="12"/>
  <c r="AJ37" i="12"/>
  <c r="AH32" i="12"/>
  <c r="AH58" i="12"/>
  <c r="AH65" i="12"/>
  <c r="AI17" i="12"/>
  <c r="AI66" i="12"/>
  <c r="AI46" i="12"/>
  <c r="AJ64" i="12"/>
  <c r="AJ35" i="12"/>
  <c r="AJ5" i="12"/>
  <c r="AJ9" i="12"/>
  <c r="AH63" i="12"/>
  <c r="AI52" i="12"/>
  <c r="AH14" i="12"/>
  <c r="AJ29" i="12"/>
  <c r="AH64" i="12"/>
  <c r="AH31" i="12"/>
  <c r="AJ17" i="12"/>
  <c r="AJ66" i="12"/>
  <c r="AI67" i="12"/>
  <c r="AH33" i="12"/>
  <c r="AJ23" i="12"/>
  <c r="AH19" i="12"/>
  <c r="AH61" i="12"/>
  <c r="AI34" i="12"/>
  <c r="AI5" i="12"/>
  <c r="AI9" i="12"/>
  <c r="AJ59" i="12"/>
  <c r="AJ60" i="12"/>
  <c r="AH20" i="12"/>
  <c r="AH7" i="12"/>
  <c r="AH10" i="12"/>
  <c r="AH40" i="12"/>
  <c r="AI19" i="12"/>
  <c r="AJ67" i="12"/>
  <c r="AJ14" i="12"/>
  <c r="AJ6" i="12"/>
  <c r="AJ47" i="12"/>
  <c r="AH39" i="12"/>
  <c r="AH41" i="12"/>
  <c r="AH45" i="12"/>
  <c r="AI8" i="12"/>
  <c r="AI43" i="12"/>
  <c r="AI53" i="12"/>
  <c r="AI21" i="12"/>
  <c r="AJ33" i="12"/>
  <c r="AJ51" i="12"/>
  <c r="AJ25" i="12"/>
  <c r="AJ52" i="12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29" i="3"/>
  <c r="AJ16" i="3"/>
  <c r="AB2" i="12" l="1"/>
  <c r="AC2" i="12"/>
  <c r="AG71" i="3"/>
  <c r="AG39" i="3"/>
  <c r="AG79" i="3"/>
  <c r="AG15" i="3"/>
  <c r="AG63" i="3"/>
  <c r="AG31" i="3"/>
  <c r="AG47" i="3"/>
  <c r="AG55" i="3"/>
  <c r="AG23" i="3"/>
  <c r="AJ72" i="3"/>
  <c r="AJ56" i="3"/>
  <c r="AJ40" i="3"/>
  <c r="AJ24" i="3"/>
  <c r="AG78" i="3"/>
  <c r="AG70" i="3"/>
  <c r="AG62" i="3"/>
  <c r="AG54" i="3"/>
  <c r="AG46" i="3"/>
  <c r="AG38" i="3"/>
  <c r="AG30" i="3"/>
  <c r="AG22" i="3"/>
  <c r="AG14" i="3"/>
  <c r="AI76" i="3"/>
  <c r="AJ68" i="3"/>
  <c r="AJ52" i="3"/>
  <c r="AJ36" i="3"/>
  <c r="AJ20" i="3"/>
  <c r="AG8" i="3"/>
  <c r="AG75" i="3"/>
  <c r="AG67" i="3"/>
  <c r="AG59" i="3"/>
  <c r="AG51" i="3"/>
  <c r="AG43" i="3"/>
  <c r="AG35" i="3"/>
  <c r="AG27" i="3"/>
  <c r="AG19" i="3"/>
  <c r="AG11" i="3"/>
  <c r="AJ80" i="3"/>
  <c r="AJ64" i="3"/>
  <c r="AJ48" i="3"/>
  <c r="AJ32" i="3"/>
  <c r="AJ9" i="3"/>
  <c r="AJ13" i="3"/>
  <c r="AJ17" i="3"/>
  <c r="AJ21" i="3"/>
  <c r="AJ25" i="3"/>
  <c r="AJ29" i="3"/>
  <c r="AJ33" i="3"/>
  <c r="AJ37" i="3"/>
  <c r="AJ41" i="3"/>
  <c r="AJ45" i="3"/>
  <c r="AJ49" i="3"/>
  <c r="AJ53" i="3"/>
  <c r="AJ57" i="3"/>
  <c r="AJ61" i="3"/>
  <c r="AJ65" i="3"/>
  <c r="AJ69" i="3"/>
  <c r="AJ73" i="3"/>
  <c r="AJ77" i="3"/>
  <c r="AJ81" i="3"/>
  <c r="AI10" i="3"/>
  <c r="AI26" i="3"/>
  <c r="AH15" i="3"/>
  <c r="AH79" i="3"/>
  <c r="AG12" i="3"/>
  <c r="AG16" i="3"/>
  <c r="AG20" i="3"/>
  <c r="AG24" i="3"/>
  <c r="AG28" i="3"/>
  <c r="AG32" i="3"/>
  <c r="AG36" i="3"/>
  <c r="AG40" i="3"/>
  <c r="AG44" i="3"/>
  <c r="AG48" i="3"/>
  <c r="AG52" i="3"/>
  <c r="AG56" i="3"/>
  <c r="AG60" i="3"/>
  <c r="AG64" i="3"/>
  <c r="AG68" i="3"/>
  <c r="AG72" i="3"/>
  <c r="AG76" i="3"/>
  <c r="AG80" i="3"/>
  <c r="AJ15" i="3"/>
  <c r="AJ19" i="3"/>
  <c r="AJ27" i="3"/>
  <c r="AJ35" i="3"/>
  <c r="AJ43" i="3"/>
  <c r="AJ51" i="3"/>
  <c r="AJ59" i="3"/>
  <c r="AJ67" i="3"/>
  <c r="AJ75" i="3"/>
  <c r="AJ8" i="3"/>
  <c r="AJ10" i="3"/>
  <c r="AJ14" i="3"/>
  <c r="AJ18" i="3"/>
  <c r="AJ22" i="3"/>
  <c r="AJ26" i="3"/>
  <c r="AJ30" i="3"/>
  <c r="AJ34" i="3"/>
  <c r="AJ38" i="3"/>
  <c r="AJ42" i="3"/>
  <c r="AJ46" i="3"/>
  <c r="AJ50" i="3"/>
  <c r="AJ54" i="3"/>
  <c r="AJ58" i="3"/>
  <c r="AJ62" i="3"/>
  <c r="AJ66" i="3"/>
  <c r="AJ70" i="3"/>
  <c r="AJ74" i="3"/>
  <c r="AJ78" i="3"/>
  <c r="AJ82" i="3"/>
  <c r="AI23" i="3"/>
  <c r="AI39" i="3"/>
  <c r="AI71" i="3"/>
  <c r="AH12" i="3"/>
  <c r="AH60" i="3"/>
  <c r="AH76" i="3"/>
  <c r="AG9" i="3"/>
  <c r="AG13" i="3"/>
  <c r="AG17" i="3"/>
  <c r="AG21" i="3"/>
  <c r="AG25" i="3"/>
  <c r="AG29" i="3"/>
  <c r="AG33" i="3"/>
  <c r="AG37" i="3"/>
  <c r="AG41" i="3"/>
  <c r="AG45" i="3"/>
  <c r="AG49" i="3"/>
  <c r="AG53" i="3"/>
  <c r="AG57" i="3"/>
  <c r="AG61" i="3"/>
  <c r="AG65" i="3"/>
  <c r="AG69" i="3"/>
  <c r="AG73" i="3"/>
  <c r="AG77" i="3"/>
  <c r="AG81" i="3"/>
  <c r="AJ11" i="3"/>
  <c r="AJ23" i="3"/>
  <c r="AJ31" i="3"/>
  <c r="AJ39" i="3"/>
  <c r="AJ47" i="3"/>
  <c r="AJ55" i="3"/>
  <c r="AJ63" i="3"/>
  <c r="AJ71" i="3"/>
  <c r="AJ79" i="3"/>
  <c r="AG82" i="3"/>
  <c r="AG74" i="3"/>
  <c r="AG66" i="3"/>
  <c r="AG58" i="3"/>
  <c r="AG50" i="3"/>
  <c r="AG42" i="3"/>
  <c r="AG34" i="3"/>
  <c r="AG26" i="3"/>
  <c r="AG18" i="3"/>
  <c r="AG10" i="3"/>
  <c r="AH21" i="3"/>
  <c r="AJ76" i="3"/>
  <c r="AJ60" i="3"/>
  <c r="AJ44" i="3"/>
  <c r="AJ28" i="3"/>
  <c r="AJ12" i="3"/>
  <c r="X9" i="3"/>
  <c r="AI9" i="3" s="1"/>
  <c r="X10" i="3"/>
  <c r="X11" i="3"/>
  <c r="AI11" i="3" s="1"/>
  <c r="X12" i="3"/>
  <c r="AI12" i="3" s="1"/>
  <c r="X13" i="3"/>
  <c r="AI13" i="3" s="1"/>
  <c r="X14" i="3"/>
  <c r="AI14" i="3" s="1"/>
  <c r="X15" i="3"/>
  <c r="AI15" i="3" s="1"/>
  <c r="X16" i="3"/>
  <c r="AI16" i="3" s="1"/>
  <c r="X17" i="3"/>
  <c r="AI17" i="3" s="1"/>
  <c r="X18" i="3"/>
  <c r="AI18" i="3" s="1"/>
  <c r="X19" i="3"/>
  <c r="AI19" i="3" s="1"/>
  <c r="X20" i="3"/>
  <c r="AI20" i="3" s="1"/>
  <c r="X21" i="3"/>
  <c r="AI21" i="3" s="1"/>
  <c r="X22" i="3"/>
  <c r="AI22" i="3" s="1"/>
  <c r="X23" i="3"/>
  <c r="X24" i="3"/>
  <c r="AI24" i="3" s="1"/>
  <c r="X25" i="3"/>
  <c r="AI25" i="3" s="1"/>
  <c r="X26" i="3"/>
  <c r="X27" i="3"/>
  <c r="AI27" i="3" s="1"/>
  <c r="X28" i="3"/>
  <c r="AI28" i="3" s="1"/>
  <c r="X29" i="3"/>
  <c r="AI29" i="3" s="1"/>
  <c r="X30" i="3"/>
  <c r="AI30" i="3" s="1"/>
  <c r="X31" i="3"/>
  <c r="AI31" i="3" s="1"/>
  <c r="X32" i="3"/>
  <c r="AI32" i="3" s="1"/>
  <c r="X33" i="3"/>
  <c r="AI33" i="3" s="1"/>
  <c r="X34" i="3"/>
  <c r="AI34" i="3" s="1"/>
  <c r="X35" i="3"/>
  <c r="AI35" i="3" s="1"/>
  <c r="X36" i="3"/>
  <c r="AI36" i="3" s="1"/>
  <c r="X37" i="3"/>
  <c r="AI37" i="3" s="1"/>
  <c r="X38" i="3"/>
  <c r="AI38" i="3" s="1"/>
  <c r="X39" i="3"/>
  <c r="X40" i="3"/>
  <c r="AI40" i="3" s="1"/>
  <c r="X41" i="3"/>
  <c r="AI41" i="3" s="1"/>
  <c r="X42" i="3"/>
  <c r="AI42" i="3" s="1"/>
  <c r="X43" i="3"/>
  <c r="AI43" i="3" s="1"/>
  <c r="X44" i="3"/>
  <c r="AI44" i="3" s="1"/>
  <c r="X45" i="3"/>
  <c r="AI45" i="3" s="1"/>
  <c r="X46" i="3"/>
  <c r="AI46" i="3" s="1"/>
  <c r="X47" i="3"/>
  <c r="AI47" i="3" s="1"/>
  <c r="X48" i="3"/>
  <c r="AI48" i="3" s="1"/>
  <c r="X49" i="3"/>
  <c r="AI49" i="3" s="1"/>
  <c r="X50" i="3"/>
  <c r="AI50" i="3" s="1"/>
  <c r="X51" i="3"/>
  <c r="AI51" i="3" s="1"/>
  <c r="X52" i="3"/>
  <c r="AI52" i="3" s="1"/>
  <c r="X53" i="3"/>
  <c r="AI53" i="3" s="1"/>
  <c r="X54" i="3"/>
  <c r="AI54" i="3" s="1"/>
  <c r="X55" i="3"/>
  <c r="AI55" i="3" s="1"/>
  <c r="X56" i="3"/>
  <c r="AI56" i="3" s="1"/>
  <c r="X57" i="3"/>
  <c r="AI57" i="3" s="1"/>
  <c r="X58" i="3"/>
  <c r="AI58" i="3" s="1"/>
  <c r="X59" i="3"/>
  <c r="AI59" i="3" s="1"/>
  <c r="X60" i="3"/>
  <c r="AI60" i="3" s="1"/>
  <c r="X61" i="3"/>
  <c r="AI61" i="3" s="1"/>
  <c r="X62" i="3"/>
  <c r="AI62" i="3" s="1"/>
  <c r="X63" i="3"/>
  <c r="AI63" i="3" s="1"/>
  <c r="X64" i="3"/>
  <c r="AI64" i="3" s="1"/>
  <c r="X65" i="3"/>
  <c r="AI65" i="3" s="1"/>
  <c r="X66" i="3"/>
  <c r="AI66" i="3" s="1"/>
  <c r="X67" i="3"/>
  <c r="AI67" i="3" s="1"/>
  <c r="X68" i="3"/>
  <c r="AI68" i="3" s="1"/>
  <c r="X69" i="3"/>
  <c r="AI69" i="3" s="1"/>
  <c r="X70" i="3"/>
  <c r="AI70" i="3" s="1"/>
  <c r="X71" i="3"/>
  <c r="X72" i="3"/>
  <c r="AI72" i="3" s="1"/>
  <c r="X73" i="3"/>
  <c r="AI73" i="3" s="1"/>
  <c r="X74" i="3"/>
  <c r="AI74" i="3" s="1"/>
  <c r="X75" i="3"/>
  <c r="AI75" i="3" s="1"/>
  <c r="X76" i="3"/>
  <c r="X77" i="3"/>
  <c r="AI77" i="3" s="1"/>
  <c r="X78" i="3"/>
  <c r="AI78" i="3" s="1"/>
  <c r="X79" i="3"/>
  <c r="AI79" i="3" s="1"/>
  <c r="X80" i="3"/>
  <c r="AI80" i="3" s="1"/>
  <c r="X81" i="3"/>
  <c r="AI81" i="3" s="1"/>
  <c r="X82" i="3"/>
  <c r="AI82" i="3" s="1"/>
  <c r="X8" i="3"/>
  <c r="AI8" i="3" s="1"/>
  <c r="W9" i="3"/>
  <c r="AH9" i="3" s="1"/>
  <c r="W10" i="3"/>
  <c r="AH10" i="3" s="1"/>
  <c r="W11" i="3"/>
  <c r="AH11" i="3" s="1"/>
  <c r="W12" i="3"/>
  <c r="W13" i="3"/>
  <c r="AH13" i="3" s="1"/>
  <c r="W14" i="3"/>
  <c r="AH14" i="3" s="1"/>
  <c r="W15" i="3"/>
  <c r="W16" i="3"/>
  <c r="AH16" i="3" s="1"/>
  <c r="W17" i="3"/>
  <c r="AH17" i="3" s="1"/>
  <c r="W18" i="3"/>
  <c r="AH18" i="3" s="1"/>
  <c r="W19" i="3"/>
  <c r="AH19" i="3" s="1"/>
  <c r="W20" i="3"/>
  <c r="AH20" i="3" s="1"/>
  <c r="W21" i="3"/>
  <c r="W22" i="3"/>
  <c r="AH22" i="3" s="1"/>
  <c r="W23" i="3"/>
  <c r="AH23" i="3" s="1"/>
  <c r="W24" i="3"/>
  <c r="AH24" i="3" s="1"/>
  <c r="W25" i="3"/>
  <c r="AH25" i="3" s="1"/>
  <c r="W26" i="3"/>
  <c r="AH26" i="3" s="1"/>
  <c r="W27" i="3"/>
  <c r="AH27" i="3" s="1"/>
  <c r="W28" i="3"/>
  <c r="AH28" i="3" s="1"/>
  <c r="W29" i="3"/>
  <c r="AH29" i="3" s="1"/>
  <c r="W30" i="3"/>
  <c r="AH30" i="3" s="1"/>
  <c r="W31" i="3"/>
  <c r="AH31" i="3" s="1"/>
  <c r="W32" i="3"/>
  <c r="AH32" i="3" s="1"/>
  <c r="W33" i="3"/>
  <c r="AH33" i="3" s="1"/>
  <c r="W34" i="3"/>
  <c r="AH34" i="3" s="1"/>
  <c r="W35" i="3"/>
  <c r="AH35" i="3" s="1"/>
  <c r="W36" i="3"/>
  <c r="AH36" i="3" s="1"/>
  <c r="W37" i="3"/>
  <c r="AH37" i="3" s="1"/>
  <c r="W38" i="3"/>
  <c r="AH38" i="3" s="1"/>
  <c r="W39" i="3"/>
  <c r="AH39" i="3" s="1"/>
  <c r="W40" i="3"/>
  <c r="AH40" i="3" s="1"/>
  <c r="W41" i="3"/>
  <c r="AH41" i="3" s="1"/>
  <c r="W42" i="3"/>
  <c r="AH42" i="3" s="1"/>
  <c r="W43" i="3"/>
  <c r="AH43" i="3" s="1"/>
  <c r="W44" i="3"/>
  <c r="AH44" i="3" s="1"/>
  <c r="W45" i="3"/>
  <c r="AH45" i="3" s="1"/>
  <c r="W46" i="3"/>
  <c r="AH46" i="3" s="1"/>
  <c r="W47" i="3"/>
  <c r="AH47" i="3" s="1"/>
  <c r="W48" i="3"/>
  <c r="AH48" i="3" s="1"/>
  <c r="W49" i="3"/>
  <c r="AH49" i="3" s="1"/>
  <c r="W50" i="3"/>
  <c r="AH50" i="3" s="1"/>
  <c r="W51" i="3"/>
  <c r="AH51" i="3" s="1"/>
  <c r="W52" i="3"/>
  <c r="AH52" i="3" s="1"/>
  <c r="W53" i="3"/>
  <c r="AH53" i="3" s="1"/>
  <c r="W54" i="3"/>
  <c r="AH54" i="3" s="1"/>
  <c r="W55" i="3"/>
  <c r="AH55" i="3" s="1"/>
  <c r="W56" i="3"/>
  <c r="AH56" i="3" s="1"/>
  <c r="W57" i="3"/>
  <c r="AH57" i="3" s="1"/>
  <c r="W58" i="3"/>
  <c r="AH58" i="3" s="1"/>
  <c r="W59" i="3"/>
  <c r="AH59" i="3" s="1"/>
  <c r="W60" i="3"/>
  <c r="W61" i="3"/>
  <c r="AH61" i="3" s="1"/>
  <c r="W62" i="3"/>
  <c r="AH62" i="3" s="1"/>
  <c r="W63" i="3"/>
  <c r="AH63" i="3" s="1"/>
  <c r="W64" i="3"/>
  <c r="AH64" i="3" s="1"/>
  <c r="W65" i="3"/>
  <c r="AH65" i="3" s="1"/>
  <c r="W66" i="3"/>
  <c r="AH66" i="3" s="1"/>
  <c r="W67" i="3"/>
  <c r="AH67" i="3" s="1"/>
  <c r="W68" i="3"/>
  <c r="AH68" i="3" s="1"/>
  <c r="W69" i="3"/>
  <c r="AH69" i="3" s="1"/>
  <c r="W70" i="3"/>
  <c r="AH70" i="3" s="1"/>
  <c r="W71" i="3"/>
  <c r="AH71" i="3" s="1"/>
  <c r="W72" i="3"/>
  <c r="AH72" i="3" s="1"/>
  <c r="W73" i="3"/>
  <c r="AH73" i="3" s="1"/>
  <c r="W74" i="3"/>
  <c r="AH74" i="3" s="1"/>
  <c r="W75" i="3"/>
  <c r="AH75" i="3" s="1"/>
  <c r="W76" i="3"/>
  <c r="W77" i="3"/>
  <c r="AH77" i="3" s="1"/>
  <c r="W78" i="3"/>
  <c r="AH78" i="3" s="1"/>
  <c r="W79" i="3"/>
  <c r="W80" i="3"/>
  <c r="AH80" i="3" s="1"/>
  <c r="W81" i="3"/>
  <c r="AH81" i="3" s="1"/>
  <c r="W82" i="3"/>
  <c r="AH82" i="3" s="1"/>
  <c r="W8" i="3"/>
  <c r="AH8" i="3" s="1"/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" i="3"/>
  <c r="B29" i="25" l="1"/>
  <c r="E29" i="25" l="1"/>
  <c r="D29" i="25"/>
  <c r="B30" i="23"/>
  <c r="F30" i="23" l="1"/>
  <c r="I30" i="23"/>
  <c r="E30" i="23"/>
  <c r="H30" i="23"/>
  <c r="D30" i="23"/>
  <c r="G30" i="23"/>
  <c r="C30" i="23"/>
  <c r="B4" i="21"/>
  <c r="G4" i="21" l="1"/>
  <c r="F4" i="21"/>
  <c r="E4" i="21"/>
  <c r="H4" i="21"/>
  <c r="D4" i="21"/>
  <c r="C4" i="21"/>
  <c r="H5" i="3"/>
  <c r="H4" i="3"/>
  <c r="H3" i="3"/>
  <c r="H2" i="3"/>
  <c r="H1" i="3"/>
  <c r="G5" i="3"/>
  <c r="G4" i="3"/>
  <c r="G3" i="3"/>
  <c r="G2" i="3"/>
  <c r="G1" i="3"/>
  <c r="F5" i="3"/>
  <c r="F4" i="3"/>
  <c r="F3" i="3"/>
  <c r="F2" i="3"/>
  <c r="F1" i="3"/>
  <c r="E5" i="3"/>
  <c r="E4" i="3"/>
  <c r="E3" i="3"/>
  <c r="E2" i="3"/>
  <c r="E1" i="3"/>
  <c r="T80" i="3" l="1"/>
  <c r="T76" i="3"/>
  <c r="T72" i="3"/>
  <c r="T68" i="3"/>
  <c r="T64" i="3"/>
  <c r="T60" i="3"/>
  <c r="T56" i="3"/>
  <c r="T52" i="3"/>
  <c r="T48" i="3"/>
  <c r="T44" i="3"/>
  <c r="T40" i="3"/>
  <c r="T36" i="3"/>
  <c r="T32" i="3"/>
  <c r="T28" i="3"/>
  <c r="T24" i="3"/>
  <c r="T20" i="3"/>
  <c r="T16" i="3"/>
  <c r="T12" i="3"/>
  <c r="T8" i="3"/>
  <c r="T61" i="3"/>
  <c r="T49" i="3"/>
  <c r="T41" i="3"/>
  <c r="T33" i="3"/>
  <c r="T25" i="3"/>
  <c r="T13" i="3"/>
  <c r="T79" i="3"/>
  <c r="T75" i="3"/>
  <c r="T71" i="3"/>
  <c r="T67" i="3"/>
  <c r="T63" i="3"/>
  <c r="T59" i="3"/>
  <c r="T55" i="3"/>
  <c r="T51" i="3"/>
  <c r="T47" i="3"/>
  <c r="T43" i="3"/>
  <c r="T39" i="3"/>
  <c r="T35" i="3"/>
  <c r="T31" i="3"/>
  <c r="T27" i="3"/>
  <c r="T23" i="3"/>
  <c r="T19" i="3"/>
  <c r="T15" i="3"/>
  <c r="T11" i="3"/>
  <c r="T82" i="3"/>
  <c r="T78" i="3"/>
  <c r="T74" i="3"/>
  <c r="T70" i="3"/>
  <c r="T66" i="3"/>
  <c r="T62" i="3"/>
  <c r="T58" i="3"/>
  <c r="T54" i="3"/>
  <c r="T50" i="3"/>
  <c r="T46" i="3"/>
  <c r="T42" i="3"/>
  <c r="T38" i="3"/>
  <c r="T34" i="3"/>
  <c r="T30" i="3"/>
  <c r="T26" i="3"/>
  <c r="T22" i="3"/>
  <c r="T18" i="3"/>
  <c r="T14" i="3"/>
  <c r="T10" i="3"/>
  <c r="T81" i="3"/>
  <c r="T77" i="3"/>
  <c r="T73" i="3"/>
  <c r="T69" i="3"/>
  <c r="T65" i="3"/>
  <c r="T57" i="3"/>
  <c r="T53" i="3"/>
  <c r="T45" i="3"/>
  <c r="T37" i="3"/>
  <c r="T29" i="3"/>
  <c r="T21" i="3"/>
  <c r="T17" i="3"/>
  <c r="T9" i="3"/>
  <c r="S82" i="3"/>
  <c r="S80" i="3"/>
  <c r="S78" i="3"/>
  <c r="S76" i="3"/>
  <c r="S74" i="3"/>
  <c r="S72" i="3"/>
  <c r="S70" i="3"/>
  <c r="S68" i="3"/>
  <c r="S66" i="3"/>
  <c r="S64" i="3"/>
  <c r="S62" i="3"/>
  <c r="S60" i="3"/>
  <c r="S58" i="3"/>
  <c r="S56" i="3"/>
  <c r="S54" i="3"/>
  <c r="S52" i="3"/>
  <c r="S50" i="3"/>
  <c r="S48" i="3"/>
  <c r="S46" i="3"/>
  <c r="S44" i="3"/>
  <c r="S42" i="3"/>
  <c r="S40" i="3"/>
  <c r="S38" i="3"/>
  <c r="S36" i="3"/>
  <c r="S34" i="3"/>
  <c r="S32" i="3"/>
  <c r="S30" i="3"/>
  <c r="S28" i="3"/>
  <c r="S26" i="3"/>
  <c r="S24" i="3"/>
  <c r="S22" i="3"/>
  <c r="S20" i="3"/>
  <c r="S18" i="3"/>
  <c r="S16" i="3"/>
  <c r="S10" i="3"/>
  <c r="S8" i="3"/>
  <c r="S14" i="3"/>
  <c r="S81" i="3"/>
  <c r="S79" i="3"/>
  <c r="S77" i="3"/>
  <c r="S75" i="3"/>
  <c r="S73" i="3"/>
  <c r="S71" i="3"/>
  <c r="S69" i="3"/>
  <c r="S67" i="3"/>
  <c r="S65" i="3"/>
  <c r="S63" i="3"/>
  <c r="S61" i="3"/>
  <c r="S59" i="3"/>
  <c r="S57" i="3"/>
  <c r="S55" i="3"/>
  <c r="S53" i="3"/>
  <c r="S51" i="3"/>
  <c r="S49" i="3"/>
  <c r="S47" i="3"/>
  <c r="S45" i="3"/>
  <c r="S43" i="3"/>
  <c r="S41" i="3"/>
  <c r="S39" i="3"/>
  <c r="S37" i="3"/>
  <c r="S35" i="3"/>
  <c r="S33" i="3"/>
  <c r="S31" i="3"/>
  <c r="S29" i="3"/>
  <c r="S27" i="3"/>
  <c r="S25" i="3"/>
  <c r="S23" i="3"/>
  <c r="S21" i="3"/>
  <c r="S19" i="3"/>
  <c r="S17" i="3"/>
  <c r="S15" i="3"/>
  <c r="S13" i="3"/>
  <c r="S11" i="3"/>
  <c r="S9" i="3"/>
  <c r="S12" i="3"/>
  <c r="R80" i="3"/>
  <c r="R76" i="3"/>
  <c r="R72" i="3"/>
  <c r="R68" i="3"/>
  <c r="R64" i="3"/>
  <c r="R60" i="3"/>
  <c r="R56" i="3"/>
  <c r="R52" i="3"/>
  <c r="R48" i="3"/>
  <c r="R44" i="3"/>
  <c r="R40" i="3"/>
  <c r="R36" i="3"/>
  <c r="R32" i="3"/>
  <c r="R28" i="3"/>
  <c r="R24" i="3"/>
  <c r="R20" i="3"/>
  <c r="R16" i="3"/>
  <c r="R12" i="3"/>
  <c r="R8" i="3"/>
  <c r="R82" i="3"/>
  <c r="R78" i="3"/>
  <c r="R74" i="3"/>
  <c r="R70" i="3"/>
  <c r="R66" i="3"/>
  <c r="R62" i="3"/>
  <c r="R58" i="3"/>
  <c r="R54" i="3"/>
  <c r="R50" i="3"/>
  <c r="R46" i="3"/>
  <c r="R42" i="3"/>
  <c r="R38" i="3"/>
  <c r="R34" i="3"/>
  <c r="R30" i="3"/>
  <c r="R26" i="3"/>
  <c r="R22" i="3"/>
  <c r="R18" i="3"/>
  <c r="R14" i="3"/>
  <c r="R10" i="3"/>
  <c r="R79" i="3"/>
  <c r="R75" i="3"/>
  <c r="R71" i="3"/>
  <c r="R67" i="3"/>
  <c r="R63" i="3"/>
  <c r="R59" i="3"/>
  <c r="R51" i="3"/>
  <c r="R47" i="3"/>
  <c r="R43" i="3"/>
  <c r="R35" i="3"/>
  <c r="R27" i="3"/>
  <c r="R19" i="3"/>
  <c r="R11" i="3"/>
  <c r="R81" i="3"/>
  <c r="R77" i="3"/>
  <c r="R73" i="3"/>
  <c r="R69" i="3"/>
  <c r="R65" i="3"/>
  <c r="R61" i="3"/>
  <c r="R57" i="3"/>
  <c r="R53" i="3"/>
  <c r="R49" i="3"/>
  <c r="R45" i="3"/>
  <c r="R41" i="3"/>
  <c r="R37" i="3"/>
  <c r="R33" i="3"/>
  <c r="R29" i="3"/>
  <c r="R25" i="3"/>
  <c r="R21" i="3"/>
  <c r="R17" i="3"/>
  <c r="R13" i="3"/>
  <c r="R9" i="3"/>
  <c r="R55" i="3"/>
  <c r="R39" i="3"/>
  <c r="R31" i="3"/>
  <c r="R23" i="3"/>
  <c r="R15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6" i="3"/>
  <c r="Q25" i="3"/>
  <c r="Q24" i="3"/>
  <c r="Q22" i="3"/>
  <c r="Q21" i="3"/>
  <c r="Q19" i="3"/>
  <c r="Q18" i="3"/>
  <c r="Q16" i="3"/>
  <c r="Q14" i="3"/>
  <c r="Q12" i="3"/>
  <c r="Q10" i="3"/>
  <c r="Q8" i="3"/>
  <c r="Q27" i="3"/>
  <c r="Q23" i="3"/>
  <c r="Q20" i="3"/>
  <c r="Q17" i="3"/>
  <c r="Q15" i="3"/>
  <c r="Q13" i="3"/>
  <c r="Q11" i="3"/>
  <c r="Q9" i="3"/>
  <c r="V42" i="3" l="1"/>
  <c r="B29" i="15"/>
  <c r="G29" i="15" l="1"/>
  <c r="F29" i="15"/>
  <c r="E29" i="15"/>
  <c r="H29" i="15"/>
  <c r="D29" i="15"/>
  <c r="C29" i="15"/>
  <c r="V12" i="3"/>
  <c r="V16" i="3"/>
  <c r="V20" i="3"/>
  <c r="V24" i="3"/>
  <c r="V28" i="3"/>
  <c r="V32" i="3"/>
  <c r="V36" i="3"/>
  <c r="V40" i="3"/>
  <c r="V44" i="3"/>
  <c r="V48" i="3"/>
  <c r="V52" i="3"/>
  <c r="V56" i="3"/>
  <c r="V60" i="3"/>
  <c r="V64" i="3"/>
  <c r="V68" i="3"/>
  <c r="V72" i="3"/>
  <c r="V76" i="3"/>
  <c r="V80" i="3"/>
  <c r="V8" i="3"/>
  <c r="U12" i="3"/>
  <c r="U16" i="3"/>
  <c r="U20" i="3"/>
  <c r="U24" i="3"/>
  <c r="U28" i="3"/>
  <c r="U32" i="3"/>
  <c r="U36" i="3"/>
  <c r="U40" i="3"/>
  <c r="U44" i="3"/>
  <c r="U48" i="3"/>
  <c r="U52" i="3"/>
  <c r="U56" i="3"/>
  <c r="U60" i="3"/>
  <c r="U64" i="3"/>
  <c r="U68" i="3"/>
  <c r="U72" i="3"/>
  <c r="U76" i="3"/>
  <c r="U80" i="3"/>
  <c r="U8" i="3"/>
  <c r="V15" i="3"/>
  <c r="V27" i="3"/>
  <c r="V39" i="3"/>
  <c r="V51" i="3"/>
  <c r="V63" i="3"/>
  <c r="V75" i="3"/>
  <c r="U11" i="3"/>
  <c r="U19" i="3"/>
  <c r="U31" i="3"/>
  <c r="U47" i="3"/>
  <c r="U55" i="3"/>
  <c r="U59" i="3"/>
  <c r="U71" i="3"/>
  <c r="V9" i="3"/>
  <c r="V13" i="3"/>
  <c r="V17" i="3"/>
  <c r="V21" i="3"/>
  <c r="V25" i="3"/>
  <c r="V29" i="3"/>
  <c r="V33" i="3"/>
  <c r="V37" i="3"/>
  <c r="V41" i="3"/>
  <c r="V45" i="3"/>
  <c r="V49" i="3"/>
  <c r="V53" i="3"/>
  <c r="V57" i="3"/>
  <c r="V61" i="3"/>
  <c r="V65" i="3"/>
  <c r="V69" i="3"/>
  <c r="V73" i="3"/>
  <c r="V77" i="3"/>
  <c r="V81" i="3"/>
  <c r="U9" i="3"/>
  <c r="U13" i="3"/>
  <c r="U17" i="3"/>
  <c r="U21" i="3"/>
  <c r="U25" i="3"/>
  <c r="U29" i="3"/>
  <c r="U33" i="3"/>
  <c r="U37" i="3"/>
  <c r="U41" i="3"/>
  <c r="U45" i="3"/>
  <c r="U49" i="3"/>
  <c r="U53" i="3"/>
  <c r="U57" i="3"/>
  <c r="U61" i="3"/>
  <c r="U65" i="3"/>
  <c r="U69" i="3"/>
  <c r="U73" i="3"/>
  <c r="U77" i="3"/>
  <c r="U81" i="3"/>
  <c r="V19" i="3"/>
  <c r="V31" i="3"/>
  <c r="V47" i="3"/>
  <c r="V55" i="3"/>
  <c r="V71" i="3"/>
  <c r="U23" i="3"/>
  <c r="U35" i="3"/>
  <c r="U43" i="3"/>
  <c r="U67" i="3"/>
  <c r="U79" i="3"/>
  <c r="V10" i="3"/>
  <c r="V14" i="3"/>
  <c r="V18" i="3"/>
  <c r="V22" i="3"/>
  <c r="V26" i="3"/>
  <c r="V30" i="3"/>
  <c r="V34" i="3"/>
  <c r="V38" i="3"/>
  <c r="V46" i="3"/>
  <c r="V50" i="3"/>
  <c r="V54" i="3"/>
  <c r="V58" i="3"/>
  <c r="V62" i="3"/>
  <c r="V66" i="3"/>
  <c r="V70" i="3"/>
  <c r="V74" i="3"/>
  <c r="V78" i="3"/>
  <c r="V82" i="3"/>
  <c r="U10" i="3"/>
  <c r="U14" i="3"/>
  <c r="U18" i="3"/>
  <c r="U22" i="3"/>
  <c r="U26" i="3"/>
  <c r="U30" i="3"/>
  <c r="U34" i="3"/>
  <c r="U38" i="3"/>
  <c r="U42" i="3"/>
  <c r="U46" i="3"/>
  <c r="U50" i="3"/>
  <c r="U54" i="3"/>
  <c r="U58" i="3"/>
  <c r="U62" i="3"/>
  <c r="U66" i="3"/>
  <c r="U70" i="3"/>
  <c r="U74" i="3"/>
  <c r="U78" i="3"/>
  <c r="U82" i="3"/>
  <c r="V11" i="3"/>
  <c r="V23" i="3"/>
  <c r="V35" i="3"/>
  <c r="V43" i="3"/>
  <c r="V59" i="3"/>
  <c r="V67" i="3"/>
  <c r="V79" i="3"/>
  <c r="U15" i="3"/>
  <c r="U27" i="3"/>
  <c r="U39" i="3"/>
  <c r="U51" i="3"/>
  <c r="U63" i="3"/>
  <c r="U75" i="3"/>
  <c r="D43" i="15" l="1"/>
  <c r="D38" i="15"/>
  <c r="D46" i="15"/>
  <c r="D42" i="15"/>
  <c r="D34" i="15"/>
  <c r="D47" i="15"/>
  <c r="E34" i="15"/>
  <c r="E37" i="15"/>
  <c r="E39" i="15"/>
  <c r="E35" i="15"/>
  <c r="D45" i="15"/>
  <c r="D37" i="15"/>
  <c r="E38" i="15"/>
  <c r="E41" i="15"/>
  <c r="D35" i="15"/>
  <c r="E42" i="15"/>
  <c r="D39" i="15"/>
  <c r="D41" i="15"/>
  <c r="E45" i="15"/>
  <c r="E46" i="15"/>
  <c r="E47" i="15"/>
  <c r="E43" i="15"/>
  <c r="E33" i="15"/>
  <c r="D33" i="15"/>
  <c r="AJ2" i="15"/>
  <c r="AK2" i="15"/>
  <c r="B29" i="12" l="1"/>
  <c r="C29" i="12" s="1"/>
  <c r="I29" i="12" l="1"/>
  <c r="G29" i="12"/>
  <c r="K29" i="12"/>
  <c r="F29" i="12"/>
  <c r="D29" i="12"/>
  <c r="J29" i="12"/>
  <c r="E29" i="12"/>
  <c r="H29" i="12"/>
  <c r="AL2" i="12" l="1"/>
  <c r="AM2" i="12"/>
</calcChain>
</file>

<file path=xl/sharedStrings.xml><?xml version="1.0" encoding="utf-8"?>
<sst xmlns="http://schemas.openxmlformats.org/spreadsheetml/2006/main" count="4108" uniqueCount="1028">
  <si>
    <t>7A1</t>
  </si>
  <si>
    <t>Betsi Cadwaladr University Health Board</t>
  </si>
  <si>
    <t>7A3</t>
  </si>
  <si>
    <t>7A4</t>
  </si>
  <si>
    <t>Cardiff and Vale University Health Board</t>
  </si>
  <si>
    <t>7A5</t>
  </si>
  <si>
    <t>7A6</t>
  </si>
  <si>
    <t>Aneurin Bevan University Health Board</t>
  </si>
  <si>
    <t>R0A</t>
  </si>
  <si>
    <t>Manchester University NHS Foundation Trust</t>
  </si>
  <si>
    <t>R1H</t>
  </si>
  <si>
    <t>Barts Health NHS Trust</t>
  </si>
  <si>
    <t>R1K</t>
  </si>
  <si>
    <t>RA9</t>
  </si>
  <si>
    <t>Torbay and South Devon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</si>
  <si>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</si>
  <si>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</si>
  <si>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</si>
  <si>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</si>
  <si>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</si>
  <si>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Royal Free London NHS Foundation Trust</t>
  </si>
  <si>
    <t>RBN</t>
  </si>
  <si>
    <t>St Helens &amp; Knowsley Teaching Hospitals NHS Trust</t>
  </si>
  <si>
    <t>RC1</t>
  </si>
  <si>
    <t>Bedford Hospital NHS Trust</t>
  </si>
  <si>
    <t>RCB</t>
  </si>
  <si>
    <t>York Teaching Hospital NHS Foundation Trust</t>
  </si>
  <si>
    <t>RDD</t>
  </si>
  <si>
    <t>Basildon and Thurrock University Hospitals NHS Foundation Trust</t>
  </si>
  <si>
    <t>RDE</t>
  </si>
  <si>
    <t>RDU</t>
  </si>
  <si>
    <t>Frimley Health NHS Foundation Trust</t>
  </si>
  <si>
    <t>REF</t>
  </si>
  <si>
    <t>Royal Cornwall Hospitals NHS Trust</t>
  </si>
  <si>
    <t>REM</t>
  </si>
  <si>
    <t>RF4</t>
  </si>
  <si>
    <t>RGN</t>
  </si>
  <si>
    <t>North West Anglia NHS Foundation Trust</t>
  </si>
  <si>
    <t>RGR</t>
  </si>
  <si>
    <t>West Suffolk NHS Foundation Trust</t>
  </si>
  <si>
    <t>RGT</t>
  </si>
  <si>
    <t>Cambridge University Hospitals NHS Foundation Trust</t>
  </si>
  <si>
    <t>RH8</t>
  </si>
  <si>
    <t>Royal Devon and Exeter NHS Foundation Trust</t>
  </si>
  <si>
    <t>RHM</t>
  </si>
  <si>
    <t>University Hospital Southampton NHS Foundation Trust</t>
  </si>
  <si>
    <t>RHQ</t>
  </si>
  <si>
    <t>Sheffield Teaching Hospitals NHS Foundation Trust</t>
  </si>
  <si>
    <t>RHW</t>
  </si>
  <si>
    <t>Royal Berkshire NHS Foundation Trust</t>
  </si>
  <si>
    <t>RJ1</t>
  </si>
  <si>
    <t>Guy's and St Thomas' NHS Foundation Trust</t>
  </si>
  <si>
    <t>RJ7</t>
  </si>
  <si>
    <t>St George's University Hospitals NHS Foundation Trust</t>
  </si>
  <si>
    <t>RJE</t>
  </si>
  <si>
    <t>University Hospital of North Midlands NHS Trust</t>
  </si>
  <si>
    <t>RJR</t>
  </si>
  <si>
    <t>Countess of Chester Hospital NHS Foundation Trust</t>
  </si>
  <si>
    <t>RJZ</t>
  </si>
  <si>
    <t>King's College Hospital NHS Foundation Trust</t>
  </si>
  <si>
    <t>RK9</t>
  </si>
  <si>
    <t>RKB</t>
  </si>
  <si>
    <t>University Hospitals Coventry and Warwickshire NHS Trust</t>
  </si>
  <si>
    <t>RL4</t>
  </si>
  <si>
    <t>Royal Wolverhampton Hospitals NHS Trust</t>
  </si>
  <si>
    <t>RM1</t>
  </si>
  <si>
    <t>Norfolk and Norwich University Hospitals NHS Foundation Trust</t>
  </si>
  <si>
    <t>RMC</t>
  </si>
  <si>
    <t>Bolton NHS Foundation Trust</t>
  </si>
  <si>
    <t>RNA</t>
  </si>
  <si>
    <t>The Dudley Group NHS Foundation Trust</t>
  </si>
  <si>
    <t>RNL</t>
  </si>
  <si>
    <t>RNS</t>
  </si>
  <si>
    <t>Northampton General Hospital NHS Trust</t>
  </si>
  <si>
    <t>RP5</t>
  </si>
  <si>
    <t>RPA</t>
  </si>
  <si>
    <t>Medway NHS Foundation Trust</t>
  </si>
  <si>
    <t>RQ8</t>
  </si>
  <si>
    <t>Mid Essex Hospital Services NHS Trust</t>
  </si>
  <si>
    <t>RQW</t>
  </si>
  <si>
    <t>Princess Alexandra Hospital NHS Trust</t>
  </si>
  <si>
    <t>RR7</t>
  </si>
  <si>
    <t>Gateshead Health NHS Foundation Trust</t>
  </si>
  <si>
    <t>RR8</t>
  </si>
  <si>
    <t>Leeds Teaching Hospitals NHS Trust</t>
  </si>
  <si>
    <t>RRK</t>
  </si>
  <si>
    <t>University Hospitals Birmingham NHS Foundation Trust</t>
  </si>
  <si>
    <t>RRV</t>
  </si>
  <si>
    <t>University College London Hospitals NHS Foundation Trust</t>
  </si>
  <si>
    <t>RT3</t>
  </si>
  <si>
    <t>Royal Brompton &amp; Harefield NHS Foundation Trust</t>
  </si>
  <si>
    <t>RTD</t>
  </si>
  <si>
    <t>Newcastle upon Tyne Hospitals NHS Foundation Trust</t>
  </si>
  <si>
    <t>RTE</t>
  </si>
  <si>
    <t>Gloucestershire Hospitals NHS Foundation Trust</t>
  </si>
  <si>
    <t>RTG</t>
  </si>
  <si>
    <t>RTH</t>
  </si>
  <si>
    <t>RTK</t>
  </si>
  <si>
    <t>RTR</t>
  </si>
  <si>
    <t>South Tees Hospitals NHS Foundation Trust</t>
  </si>
  <si>
    <t>RVJ</t>
  </si>
  <si>
    <t>North Bristol NHS Trust</t>
  </si>
  <si>
    <t>RVV</t>
  </si>
  <si>
    <t>East Kent Hospitals University NHS Foundation Trust</t>
  </si>
  <si>
    <t>RW6</t>
  </si>
  <si>
    <t>Pennine Acute Hospitals NHS Trust</t>
  </si>
  <si>
    <t>RWA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</si>
  <si>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</si>
  <si>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</si>
  <si>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</si>
  <si>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</si>
  <si>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</si>
  <si>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</si>
  <si>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</si>
  <si>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</si>
  <si>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</si>
  <si>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</si>
  <si>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</si>
  <si>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</si>
  <si>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</si>
  <si>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</si>
  <si>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</si>
  <si>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</si>
  <si>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RXN</t>
  </si>
  <si>
    <t>Lancashire Teaching Hospitals NHS Foundation Trust</t>
  </si>
  <si>
    <t>RXR</t>
  </si>
  <si>
    <t>East Lancashire Hospitals NHS Trust</t>
  </si>
  <si>
    <t>RXW</t>
  </si>
  <si>
    <t>Shrewsbury and Telford Hospital NHS Trust</t>
  </si>
  <si>
    <t>RYJ</t>
  </si>
  <si>
    <t>Imperial College Healthcare NHS Trust</t>
  </si>
  <si>
    <t>SA999</t>
  </si>
  <si>
    <t>NHS Ayrshire &amp; Arran</t>
  </si>
  <si>
    <t>SG999</t>
  </si>
  <si>
    <t>NHS Greater Glasgow and Clyde</t>
  </si>
  <si>
    <t>SH999</t>
  </si>
  <si>
    <t>NHS Highland</t>
  </si>
  <si>
    <t>SL999</t>
  </si>
  <si>
    <t>NHS Lanarkshire</t>
  </si>
  <si>
    <t>SN999</t>
  </si>
  <si>
    <t>NHS Grampian</t>
  </si>
  <si>
    <t>SS999</t>
  </si>
  <si>
    <t>NHS Lothian</t>
  </si>
  <si>
    <t>ST999</t>
  </si>
  <si>
    <t>NHS Tayside</t>
  </si>
  <si>
    <t>SV999</t>
  </si>
  <si>
    <t>NHS Forth Valley</t>
  </si>
  <si>
    <t>ZT001</t>
  </si>
  <si>
    <t>Belfast Health and Social Care Trust</t>
  </si>
  <si>
    <t>Trust Name</t>
  </si>
  <si>
    <t>Trust code</t>
  </si>
  <si>
    <t>NVR cases</t>
  </si>
  <si>
    <t>Patients referred within 7 days of symptom</t>
  </si>
  <si>
    <t>Patients receiving surgery within 7 days of referral</t>
  </si>
  <si>
    <t>Patients receiving surgery within 14 days of symptom</t>
  </si>
  <si>
    <t>Median(IQR) length of stay (days)</t>
  </si>
  <si>
    <t>Symptomatic cases</t>
  </si>
  <si>
    <t>Median delay and IQR from index symptom to surgery (days)</t>
  </si>
  <si>
    <t>NVR Cases</t>
  </si>
  <si>
    <t>No. of EVAR</t>
  </si>
  <si>
    <t>% patients with anaesthetic review</t>
  </si>
  <si>
    <t>% patients undergoing pre-op CT/MR angiogram assessment</t>
  </si>
  <si>
    <t>%patients discussed at MDT</t>
  </si>
  <si>
    <t>Median delay and IQR from assessment to surgery (days)</t>
  </si>
  <si>
    <t>Median (IQR) length of stay for open repairs (days)</t>
  </si>
  <si>
    <t>Median (IQR) length of stay for EVAR (days)</t>
  </si>
  <si>
    <t>% patients with date of assessment</t>
  </si>
  <si>
    <t>Median (IQR) length of stay (days)</t>
  </si>
  <si>
    <t>Swansea Bay University Health Board</t>
  </si>
  <si>
    <t>University Hospitals Plymouth NHS Trust</t>
  </si>
  <si>
    <t>East Suffolk and North Essex NHS Foundation Trust</t>
  </si>
  <si>
    <t>7 (3 - 15)</t>
  </si>
  <si>
    <t>9 (8 - 11)</t>
  </si>
  <si>
    <t>4 (3 - 7)</t>
  </si>
  <si>
    <t>4 (3 - 6)</t>
  </si>
  <si>
    <t>5 (3 - 8)</t>
  </si>
  <si>
    <t>7 (4 - 13)</t>
  </si>
  <si>
    <t>4 (2 - 6)</t>
  </si>
  <si>
    <t>7 (5 - 12)</t>
  </si>
  <si>
    <t>5 (3 - 7)</t>
  </si>
  <si>
    <t>3 (2 - 6)</t>
  </si>
  <si>
    <t>4 (2 - 8)</t>
  </si>
  <si>
    <t>6 (5 - 8)</t>
  </si>
  <si>
    <t>3 (2 - 4)</t>
  </si>
  <si>
    <t>6 (4 - 10)</t>
  </si>
  <si>
    <t>3 (1 - 9)</t>
  </si>
  <si>
    <t>6 (5 - 9)</t>
  </si>
  <si>
    <t>7 (5 - 9)</t>
  </si>
  <si>
    <t>3 (2 - 5)</t>
  </si>
  <si>
    <t>2 (1 - 4)</t>
  </si>
  <si>
    <t>3 (2 - 7)</t>
  </si>
  <si>
    <t>5 (3 - 9)</t>
  </si>
  <si>
    <t>4 (2 - 7)</t>
  </si>
  <si>
    <t>4 (3 - 5)</t>
  </si>
  <si>
    <t>1 (1 - 1)</t>
  </si>
  <si>
    <t>RXQ</t>
  </si>
  <si>
    <t>8 (4 - 17)</t>
  </si>
  <si>
    <t>5 (3 - 10)</t>
  </si>
  <si>
    <t>6 (3 - 13)</t>
  </si>
  <si>
    <t>6 (3 - 14)</t>
  </si>
  <si>
    <t>7 (4 - 16)</t>
  </si>
  <si>
    <t>6 (4 - 14)</t>
  </si>
  <si>
    <t>6 (3 - 11)</t>
  </si>
  <si>
    <t>7 (4 - 15)</t>
  </si>
  <si>
    <t>6 (3 - 12)</t>
  </si>
  <si>
    <t>7 (5 - 8)</t>
  </si>
  <si>
    <t>8 (4 - 15)</t>
  </si>
  <si>
    <t>6 (4 - 12)</t>
  </si>
  <si>
    <t>9 (6 - 18)</t>
  </si>
  <si>
    <t>8 (5 - 14)</t>
  </si>
  <si>
    <t>4 (2 - 9)</t>
  </si>
  <si>
    <t>7 (5 - 13)</t>
  </si>
  <si>
    <t>RD8</t>
  </si>
  <si>
    <t>RN3</t>
  </si>
  <si>
    <t>RN5</t>
  </si>
  <si>
    <t>0 (0 - 8)</t>
  </si>
  <si>
    <t>0 (0 - 0)</t>
  </si>
  <si>
    <t>0 (0 - 2)</t>
  </si>
  <si>
    <t>0 (0 - 1)</t>
  </si>
  <si>
    <t>0 (0 - 4)</t>
  </si>
  <si>
    <t>2 (1 - 2)</t>
  </si>
  <si>
    <t>1 (1 - 5)</t>
  </si>
  <si>
    <t>1 (0 - 3)</t>
  </si>
  <si>
    <t>1 (0 - 10)</t>
  </si>
  <si>
    <t>0 (0 - 3)</t>
  </si>
  <si>
    <t>2 (1 - 7)</t>
  </si>
  <si>
    <t>3 (1 - 8)</t>
  </si>
  <si>
    <t>1 (1 - 3)</t>
  </si>
  <si>
    <t>1 (0 - 5)</t>
  </si>
  <si>
    <t>1 (0 - 9)</t>
  </si>
  <si>
    <t>2 (1 - 5)</t>
  </si>
  <si>
    <t>1 (0 - 14)</t>
  </si>
  <si>
    <t>0 (0 - 6)</t>
  </si>
  <si>
    <t>5 (2 - 12)</t>
  </si>
  <si>
    <t>5 (2 - 8)</t>
  </si>
  <si>
    <t>2 (1 - 3)</t>
  </si>
  <si>
    <t>3 (2 - 3)</t>
  </si>
  <si>
    <t>1 (1 - 2)</t>
  </si>
  <si>
    <t>6 (3 - 8)</t>
  </si>
  <si>
    <t>8 (6 - 10)</t>
  </si>
  <si>
    <t>3 (1 - 5)</t>
  </si>
  <si>
    <t>2 (2 - 3)</t>
  </si>
  <si>
    <t>5 (2 - 10)</t>
  </si>
  <si>
    <t>8 (5 - 13)</t>
  </si>
  <si>
    <t>8 (6 - 11)</t>
  </si>
  <si>
    <t>2 (1 - 6)</t>
  </si>
  <si>
    <t>6 (3 - 10)</t>
  </si>
  <si>
    <t>3 (1 - 6)</t>
  </si>
  <si>
    <t>3 (3 - 4)</t>
  </si>
  <si>
    <t>3 (3 - 5)</t>
  </si>
  <si>
    <t>Adjusted in-hospital mortality (2016-2018)</t>
  </si>
  <si>
    <t>8 (7 - 13)</t>
  </si>
  <si>
    <t>2 (2 - 4)</t>
  </si>
  <si>
    <t>6 (5 - 11)</t>
  </si>
  <si>
    <t>7 (6 - 9)</t>
  </si>
  <si>
    <t>6 (5 - 6)</t>
  </si>
  <si>
    <t>9 (8 - 10)</t>
  </si>
  <si>
    <t>7 (6 - 11)</t>
  </si>
  <si>
    <t>8 (6 - 9)</t>
  </si>
  <si>
    <t>7 (6 - 8)</t>
  </si>
  <si>
    <t>7 (6 - 12)</t>
  </si>
  <si>
    <t>6 (5 - 7)</t>
  </si>
  <si>
    <t>8 (7 - 9)</t>
  </si>
  <si>
    <t>7 (5 - 10)</t>
  </si>
  <si>
    <t>5 (5 - 6)</t>
  </si>
  <si>
    <t>8 (7 - 12)</t>
  </si>
  <si>
    <t>8 (7 - 10)</t>
  </si>
  <si>
    <t>9 (8 - 15)</t>
  </si>
  <si>
    <t>6 (3 - 9)</t>
  </si>
  <si>
    <t>8 (8 - 11)</t>
  </si>
  <si>
    <t>7 (4 - 11)</t>
  </si>
  <si>
    <t>1 (0 - 1)</t>
  </si>
  <si>
    <t>6 (2 - 10)</t>
  </si>
  <si>
    <t>4 (1 - 7)</t>
  </si>
  <si>
    <t>5 (2 - 9)</t>
  </si>
  <si>
    <t>10 (7 - 15)</t>
  </si>
  <si>
    <t>N/A</t>
  </si>
  <si>
    <t>9 (6 - 11)</t>
  </si>
  <si>
    <t>8 (6 - 13)</t>
  </si>
  <si>
    <t>9 (8 - 14)</t>
  </si>
  <si>
    <t>Great Western Hospitals NHS Foundation Trust</t>
  </si>
  <si>
    <t>Hampshire Hospitals NHS Foundation Trust</t>
  </si>
  <si>
    <t>Buckinghamshire Healthcare NHS Trust</t>
  </si>
  <si>
    <t>&lt;5</t>
  </si>
  <si>
    <t>xx</t>
  </si>
  <si>
    <t>University Hospitals of Derby and Burton NHS Foundation Trust</t>
  </si>
  <si>
    <t>Select Trust</t>
  </si>
  <si>
    <t>NATIONAL</t>
  </si>
  <si>
    <t>Trust N</t>
  </si>
  <si>
    <t>NICE</t>
  </si>
  <si>
    <t>Med Symproc</t>
  </si>
  <si>
    <t>LQErrorBar</t>
  </si>
  <si>
    <t>UQErrorBar</t>
  </si>
  <si>
    <t>AAAMortVol</t>
  </si>
  <si>
    <t>AAAMort</t>
  </si>
  <si>
    <t>LQ Error Bar</t>
  </si>
  <si>
    <t>UQ Error Bar</t>
  </si>
  <si>
    <t>procedure_type</t>
  </si>
  <si>
    <t>procedures</t>
  </si>
  <si>
    <t>cea</t>
  </si>
  <si>
    <t>ul998</t>
  </si>
  <si>
    <t>National</t>
  </si>
  <si>
    <t>trust_code</t>
  </si>
  <si>
    <t>surv_num</t>
  </si>
  <si>
    <t>Stroke/Death 30</t>
  </si>
  <si>
    <t>Med AssProc</t>
  </si>
  <si>
    <t>NAAASP</t>
  </si>
  <si>
    <t>RankN</t>
  </si>
  <si>
    <t>Metric</t>
  </si>
  <si>
    <t>Report Year</t>
  </si>
  <si>
    <t>Trust</t>
  </si>
  <si>
    <t>Quartile</t>
  </si>
  <si>
    <t>Choose Graph</t>
  </si>
  <si>
    <t>LQ AssProc</t>
  </si>
  <si>
    <t>UQ AssProc</t>
  </si>
  <si>
    <t>aaa</t>
  </si>
  <si>
    <t>Mortality Rate</t>
  </si>
  <si>
    <t>elec_ir_surv_num</t>
  </si>
  <si>
    <t>Min</t>
  </si>
  <si>
    <t>Q1</t>
  </si>
  <si>
    <t>Median</t>
  </si>
  <si>
    <t>Q3</t>
  </si>
  <si>
    <t>Max</t>
  </si>
  <si>
    <t>Date of Assessmet Quartile</t>
  </si>
  <si>
    <t>Anaesthetic Review Quartile</t>
  </si>
  <si>
    <t>Pre-op CT/MR Assessment Quartile</t>
  </si>
  <si>
    <t>MDT Quartile</t>
  </si>
  <si>
    <t>9 (8 - 16)</t>
  </si>
  <si>
    <t>8 (8 - 9)</t>
  </si>
  <si>
    <t>7 (7 - 10)</t>
  </si>
  <si>
    <t>7 (6 - 10)</t>
  </si>
  <si>
    <t>10 (7 - 14)</t>
  </si>
  <si>
    <t>8 (7 - 11)</t>
  </si>
  <si>
    <t>9 (7 - 13)</t>
  </si>
  <si>
    <t>9 (7 - 11)</t>
  </si>
  <si>
    <t>3 (1 - 4)</t>
  </si>
  <si>
    <t>5 (4 - 7)</t>
  </si>
  <si>
    <t>Rank</t>
  </si>
  <si>
    <t>9 (7 - 12)</t>
  </si>
  <si>
    <t>8 (7 - 14)</t>
  </si>
  <si>
    <t>Standard</t>
  </si>
  <si>
    <t>CEAMortVol</t>
  </si>
  <si>
    <t>byp</t>
  </si>
  <si>
    <t>ang</t>
  </si>
  <si>
    <t>amp</t>
  </si>
  <si>
    <t>GraphData2</t>
  </si>
  <si>
    <t>Rank2</t>
  </si>
  <si>
    <t>Rank1</t>
  </si>
  <si>
    <t>GraphData1</t>
  </si>
  <si>
    <t>Graph L ErrorBar</t>
  </si>
  <si>
    <t>Graph U ErrorBar</t>
  </si>
  <si>
    <t>ll998</t>
  </si>
  <si>
    <t>Ashford and St Peter's Hospitals NHS Foundation Trust</t>
  </si>
  <si>
    <t>Barking, Havering and Redbridge University Hospitals NHS Trust</t>
  </si>
  <si>
    <t>Cwm Taf Morgannwg University Health Board</t>
  </si>
  <si>
    <t>Doncaster and Bassetlaw Teaching Hospitals NHS Foundation Trust</t>
  </si>
  <si>
    <t>Hull University Teaching Hospitals NHS Trust</t>
  </si>
  <si>
    <t>Liverpool University Hospitals NHS Foundation Trust</t>
  </si>
  <si>
    <t>London North West University Healthcare NHS Trust</t>
  </si>
  <si>
    <t>Milton Keynes University Hospital NHS Foundation Trust</t>
  </si>
  <si>
    <t>Oxford University Hospitals NHS Foundation Trust</t>
  </si>
  <si>
    <t>RD1</t>
  </si>
  <si>
    <t>Royal United Hospital Bath NHS Trust</t>
  </si>
  <si>
    <t>RVY</t>
  </si>
  <si>
    <t>Southport and Ormskirk Hospital NHS Trust</t>
  </si>
  <si>
    <t>RTP</t>
  </si>
  <si>
    <t>Surrey and Sussex Healthcare NHS Trust</t>
  </si>
  <si>
    <t>RRF</t>
  </si>
  <si>
    <t>Wrightington, Wigan And Leigh NHS Foundation Trust</t>
  </si>
  <si>
    <t>&lt;10</t>
  </si>
  <si>
    <t>1 (0 - 8)</t>
  </si>
  <si>
    <t>8 (6 - 15)</t>
  </si>
  <si>
    <t>8 (4 - 20)</t>
  </si>
  <si>
    <t>8 (4 - 14)</t>
  </si>
  <si>
    <t>9 (5 - 17)</t>
  </si>
  <si>
    <t>5 (2 - 6)</t>
  </si>
  <si>
    <t>4 (2 - 10)</t>
  </si>
  <si>
    <t>7 (6 - 14)</t>
  </si>
  <si>
    <t>7 (4 - 10)</t>
  </si>
  <si>
    <t>9 (6 - 15)</t>
  </si>
  <si>
    <t>67 (41 - 99)</t>
  </si>
  <si>
    <t>108 (76 - 174)</t>
  </si>
  <si>
    <t>72 (46 - 128)</t>
  </si>
  <si>
    <t>48 (28 - 103)</t>
  </si>
  <si>
    <t>7 (7 - 12)</t>
  </si>
  <si>
    <t>94 (40 - 132)</t>
  </si>
  <si>
    <t>11 (8 - 23)</t>
  </si>
  <si>
    <t>59 (31 - 102)</t>
  </si>
  <si>
    <t>114 (67 - 212)</t>
  </si>
  <si>
    <t>9 (8 - 13)</t>
  </si>
  <si>
    <t>89 (60 - 158)</t>
  </si>
  <si>
    <t>48 (29 - 104)</t>
  </si>
  <si>
    <t>9 (9 - 14)</t>
  </si>
  <si>
    <t>80 (47 - 163)</t>
  </si>
  <si>
    <t>45 (27 - 84)</t>
  </si>
  <si>
    <t>5 (1 - 31)</t>
  </si>
  <si>
    <t>77 (42 - 128)</t>
  </si>
  <si>
    <t>68 (52 - 106)</t>
  </si>
  <si>
    <t>47 (25 - 82)</t>
  </si>
  <si>
    <t>76 (36 - 128)</t>
  </si>
  <si>
    <t>12 (5 - 14)</t>
  </si>
  <si>
    <t>111 (42 - 148)</t>
  </si>
  <si>
    <t>56 (35 - 110)</t>
  </si>
  <si>
    <t>67 (35 - 95)</t>
  </si>
  <si>
    <t>47 (30 - 85)</t>
  </si>
  <si>
    <t>53 (39 - 77)</t>
  </si>
  <si>
    <t>122 (65 - 190)</t>
  </si>
  <si>
    <t>8 (7 - 8)</t>
  </si>
  <si>
    <t>45 (28 - 90)</t>
  </si>
  <si>
    <t>35 (22 - 49)</t>
  </si>
  <si>
    <t>73 (46 - 138)</t>
  </si>
  <si>
    <t>63 (37 - 110)</t>
  </si>
  <si>
    <t>30 (11 - 76)</t>
  </si>
  <si>
    <t>4 (4 - 6)</t>
  </si>
  <si>
    <t>96 (68 - 131)</t>
  </si>
  <si>
    <t>40 (27 - 66)</t>
  </si>
  <si>
    <t>128 (57 - 186)</t>
  </si>
  <si>
    <t>46 (32 - 102)</t>
  </si>
  <si>
    <t>80 (42 - 124)</t>
  </si>
  <si>
    <t>103 (83 - 167)</t>
  </si>
  <si>
    <t>51 (30 - 91)</t>
  </si>
  <si>
    <t>60 (32 - 91)</t>
  </si>
  <si>
    <t>51 (27 - 76)</t>
  </si>
  <si>
    <t>64 (44 - 96)</t>
  </si>
  <si>
    <t>55 (33 - 102)</t>
  </si>
  <si>
    <t>56 (28 - 76)</t>
  </si>
  <si>
    <t>65 (52 - 141)</t>
  </si>
  <si>
    <t>10 (8 - 13)</t>
  </si>
  <si>
    <t>52 (30 - 91)</t>
  </si>
  <si>
    <t>39 (24 - 61)</t>
  </si>
  <si>
    <t>74 (28 - 99)</t>
  </si>
  <si>
    <t>7 (7 - 21)</t>
  </si>
  <si>
    <t>80 (39 - 119)</t>
  </si>
  <si>
    <t>7 (6 - 17)</t>
  </si>
  <si>
    <t>85 (53 - 132)</t>
  </si>
  <si>
    <t>87 (49 - 133)</t>
  </si>
  <si>
    <t>75 (42 - 126)</t>
  </si>
  <si>
    <t>91 (51 - 121)</t>
  </si>
  <si>
    <t>80 (52 - 113)</t>
  </si>
  <si>
    <t>75 (39 - 228)</t>
  </si>
  <si>
    <t>46 (27 - 100)</t>
  </si>
  <si>
    <t>15 (10 - 36)</t>
  </si>
  <si>
    <t>75 (47 - 142)</t>
  </si>
  <si>
    <t>7 (5 - 7)</t>
  </si>
  <si>
    <t>88 (66 - 136)</t>
  </si>
  <si>
    <t>9 (5 - 15)</t>
  </si>
  <si>
    <t>80 (55 - 116)</t>
  </si>
  <si>
    <t>45 (31 - 73)</t>
  </si>
  <si>
    <t>83 (47 - 127)</t>
  </si>
  <si>
    <t>80 (52 - 130)</t>
  </si>
  <si>
    <t>9 (7 - 20)</t>
  </si>
  <si>
    <t>69 (30 - 124)</t>
  </si>
  <si>
    <t>8 (8 - 12)</t>
  </si>
  <si>
    <t>79 (43 - 123)</t>
  </si>
  <si>
    <t>63 (42 - 90)</t>
  </si>
  <si>
    <t>56 (33 - 98)</t>
  </si>
  <si>
    <t>54 (28 - 65)</t>
  </si>
  <si>
    <t>10 (8 - 10)</t>
  </si>
  <si>
    <t>62 (36 - 89)</t>
  </si>
  <si>
    <t>73 (37 - 115)</t>
  </si>
  <si>
    <t>60 (35 - 103)</t>
  </si>
  <si>
    <t>5 (5 - 7)</t>
  </si>
  <si>
    <t>62 (34 - 120)</t>
  </si>
  <si>
    <t>75 (48 - 99)</t>
  </si>
  <si>
    <t>62 (30 - 85)</t>
  </si>
  <si>
    <t>42 (27 - 60)</t>
  </si>
  <si>
    <t>90 (41 - 135)</t>
  </si>
  <si>
    <t>47 (30 - 78)</t>
  </si>
  <si>
    <t>59 (21 - 144)</t>
  </si>
  <si>
    <t>3 (2 - 8)</t>
  </si>
  <si>
    <t>63 (33 - 89)</t>
  </si>
  <si>
    <t>11 (8 - 15)</t>
  </si>
  <si>
    <t>9 (7 - 10)</t>
  </si>
  <si>
    <t>8 (7 - 23)</t>
  </si>
  <si>
    <t>9 (7 - 18)</t>
  </si>
  <si>
    <t>8 (5 - 10)</t>
  </si>
  <si>
    <t>3 (1 - 10)</t>
  </si>
  <si>
    <t>Treated within 8 weeks lower CI</t>
  </si>
  <si>
    <t>Treated within 8 weeks upper CI</t>
  </si>
  <si>
    <t>Treated 8 weeks lower error bar</t>
  </si>
  <si>
    <t>Treated 8 weeks upper error bar</t>
  </si>
  <si>
    <t>Assessment to procedure rank</t>
  </si>
  <si>
    <t>Graph National Standard</t>
  </si>
  <si>
    <t>Treated national standard</t>
  </si>
  <si>
    <t>LQ Symproc</t>
  </si>
  <si>
    <t>LQ Error Bar Symproc</t>
  </si>
  <si>
    <t>UQ Symproc</t>
  </si>
  <si>
    <t>UQ Error Bar Symproc</t>
  </si>
  <si>
    <t>%14 Days LL</t>
  </si>
  <si>
    <t>%14 Days UL</t>
  </si>
  <si>
    <t>% 14 Days LL Error Bar</t>
  </si>
  <si>
    <t>% 14 Days UL Error Bar</t>
  </si>
  <si>
    <t>GraphData</t>
  </si>
  <si>
    <t>AKA:BKA Standard</t>
  </si>
  <si>
    <t>% of patients receiving surgery within 8 weeks of assessment</t>
  </si>
  <si>
    <t>% Treated within 8 weeks of assessment</t>
  </si>
  <si>
    <t>8 (3 - 16)</t>
  </si>
  <si>
    <t>% Adjusted in-hospital mortality (2018-2020)</t>
  </si>
  <si>
    <t>R0B</t>
  </si>
  <si>
    <t>South Tyneside and Sunderland NHS Foundation Trust</t>
  </si>
  <si>
    <t>9 (6 - 17)</t>
  </si>
  <si>
    <t>R0D</t>
  </si>
  <si>
    <t>University Hospitals Dorset NHS Foundation Trust</t>
  </si>
  <si>
    <t>9 (7 - 22)</t>
  </si>
  <si>
    <t>Mid and South Essex NHS Foundation Trust</t>
  </si>
  <si>
    <t>RBQ</t>
  </si>
  <si>
    <t>Liverpool Heart And Chest NHS Foundation Trust</t>
  </si>
  <si>
    <t>10 (9 - 14)</t>
  </si>
  <si>
    <t>8 (3 - 39)</t>
  </si>
  <si>
    <t>8 (2 - 31)</t>
  </si>
  <si>
    <t>7 (6 - 20)</t>
  </si>
  <si>
    <t>10 (7 - 10)</t>
  </si>
  <si>
    <t>18 (18 - 18)</t>
  </si>
  <si>
    <t>RH5</t>
  </si>
  <si>
    <t>Somerset NHS Foundation Trust</t>
  </si>
  <si>
    <t>11 (8 - 14)</t>
  </si>
  <si>
    <t>7 (7 - 7)</t>
  </si>
  <si>
    <t>10 (7 - 11)</t>
  </si>
  <si>
    <t>North Cumbria Integrated Care NHS Foundation Trust</t>
  </si>
  <si>
    <t>10 (9 - 12)</t>
  </si>
  <si>
    <t>1 (0 - 2)</t>
  </si>
  <si>
    <t>5 (4 - 5)</t>
  </si>
  <si>
    <t>8 (4 - 11)</t>
  </si>
  <si>
    <t>7 (6 - 21)</t>
  </si>
  <si>
    <t>13 (12 - 16)</t>
  </si>
  <si>
    <t>RYR</t>
  </si>
  <si>
    <t>University Hospital Sussex NHS Foundation Trust</t>
  </si>
  <si>
    <t>10 (9 - 16)</t>
  </si>
  <si>
    <t>19 (7 - 22)</t>
  </si>
  <si>
    <t>No. of open</t>
  </si>
  <si>
    <t>%EVAR</t>
  </si>
  <si>
    <t>%Open</t>
  </si>
  <si>
    <t>%EVAR Rank</t>
  </si>
  <si>
    <t>Quartiles plot value</t>
  </si>
  <si>
    <t>%EVAR value</t>
  </si>
  <si>
    <t>%EVAR rank</t>
  </si>
  <si>
    <t>All patients receiving surgery within 7 days of referral</t>
  </si>
  <si>
    <t>14 (10 - 21)</t>
  </si>
  <si>
    <t>11 (8 - 16)</t>
  </si>
  <si>
    <t>5 (3 - 13)</t>
  </si>
  <si>
    <t>6 (4 - 9)</t>
  </si>
  <si>
    <t>4 (2 - 12)</t>
  </si>
  <si>
    <t>12 (8 - 18)</t>
  </si>
  <si>
    <t>13 (10 - 19)</t>
  </si>
  <si>
    <t>15 (12 - 20)</t>
  </si>
  <si>
    <t>10 (7 - 13)</t>
  </si>
  <si>
    <t>5 (4 - 9)</t>
  </si>
  <si>
    <t>9 (4 - 18)</t>
  </si>
  <si>
    <t>8 (3 - 13)</t>
  </si>
  <si>
    <t>16 (10 - 23)</t>
  </si>
  <si>
    <t>3 (2 - 9)</t>
  </si>
  <si>
    <t>5 (2 - 11)</t>
  </si>
  <si>
    <t>6 (2 - 16)</t>
  </si>
  <si>
    <t>7 (2 - 10)</t>
  </si>
  <si>
    <t>17 (12 - 28)</t>
  </si>
  <si>
    <t>7 (3 - 14)</t>
  </si>
  <si>
    <t>7 (3 - 16)</t>
  </si>
  <si>
    <t>14 (11 - 28)</t>
  </si>
  <si>
    <t>SY999</t>
  </si>
  <si>
    <t>NHS Dumfries and Galloway</t>
  </si>
  <si>
    <t>Plot 1 Value</t>
  </si>
  <si>
    <t>Plot 1 LQErrorBar</t>
  </si>
  <si>
    <t>Plot 1 UQErrorBar</t>
  </si>
  <si>
    <t>Plot 1 Trust N</t>
  </si>
  <si>
    <t>EVARUpperErrorBar</t>
  </si>
  <si>
    <t>EVARLowerErrorBar</t>
  </si>
  <si>
    <t>Trust Code</t>
  </si>
  <si>
    <t>1 (0 - 6)</t>
  </si>
  <si>
    <t>5 (1 - 13)</t>
  </si>
  <si>
    <t>5 (3 - 12)</t>
  </si>
  <si>
    <t>Plot N</t>
  </si>
  <si>
    <t>Graph1 L ErrorBar</t>
  </si>
  <si>
    <t>Graph1 U ErrorBar</t>
  </si>
  <si>
    <t>Plot 2 Value</t>
  </si>
  <si>
    <t>Plot 2 Trust N</t>
  </si>
  <si>
    <t>Plot 2 LErrorBar</t>
  </si>
  <si>
    <t>Plot 2 UErrorBar</t>
  </si>
  <si>
    <t>PlotLErrorBar</t>
  </si>
  <si>
    <t>PlotUErrorBar</t>
  </si>
  <si>
    <t>9 (5 - 21)</t>
  </si>
  <si>
    <t>7 (3 - 13)</t>
  </si>
  <si>
    <t>9 (5 - 22)</t>
  </si>
  <si>
    <t>9 (5 - 18)</t>
  </si>
  <si>
    <t>8 (5 - 18)</t>
  </si>
  <si>
    <t>6 (2 - 7)</t>
  </si>
  <si>
    <t>6 (4 - 8)</t>
  </si>
  <si>
    <t>L ErrorBar</t>
  </si>
  <si>
    <t>U ErrorBar</t>
  </si>
  <si>
    <t>CLTI Rank</t>
  </si>
  <si>
    <t>3 (0 - 8)</t>
  </si>
  <si>
    <t>6 (2 - 8)</t>
  </si>
  <si>
    <t>5 (2 - 13)</t>
  </si>
  <si>
    <t>% Open</t>
  </si>
  <si>
    <t>% Hybrid</t>
  </si>
  <si>
    <t>% Endovascular</t>
  </si>
  <si>
    <t>Show in plot?</t>
  </si>
  <si>
    <t>Order</t>
  </si>
  <si>
    <t>Revasc TrustN</t>
  </si>
  <si>
    <t>% Adjusted in-hospital mortality (2019-2021)</t>
  </si>
  <si>
    <t>7 (7 - 9)</t>
  </si>
  <si>
    <t>1 (1 - 2.5)</t>
  </si>
  <si>
    <t>8.5 (6 - 10)</t>
  </si>
  <si>
    <t>2 (2 - 2)</t>
  </si>
  <si>
    <t>6 (5 - 16)</t>
  </si>
  <si>
    <t>. (. - .)</t>
  </si>
  <si>
    <t>1 (1 - 1.5)</t>
  </si>
  <si>
    <t>8.5 (6 - 11)</t>
  </si>
  <si>
    <t>7.5 (5 - 16)</t>
  </si>
  <si>
    <t>8 (7.5 - 12)</t>
  </si>
  <si>
    <t>8 (8 - 8)</t>
  </si>
  <si>
    <t>RC9</t>
  </si>
  <si>
    <t>Bedfordshire Hospitals NHS Foundation Trust</t>
  </si>
  <si>
    <t>6 (6 - 62)</t>
  </si>
  <si>
    <t>2 (1.5 - 3)</t>
  </si>
  <si>
    <t>7 (6.5 - 19.5)</t>
  </si>
  <si>
    <t>3.5 (1 - 6)</t>
  </si>
  <si>
    <t>7.5 (5 - 10.5)</t>
  </si>
  <si>
    <t>19.5 (8 - 31)</t>
  </si>
  <si>
    <t>11 (7 - 44)</t>
  </si>
  <si>
    <t>16 (16 - 16)</t>
  </si>
  <si>
    <t>1.5 (1 - 2)</t>
  </si>
  <si>
    <t>7.5 (7 - 9)</t>
  </si>
  <si>
    <t>RM3</t>
  </si>
  <si>
    <t>Northern Care Alliance NHS Foundation Trust</t>
  </si>
  <si>
    <t>6 (6 - 9)</t>
  </si>
  <si>
    <t>7.5 (7 - 12.5)</t>
  </si>
  <si>
    <t>RNN</t>
  </si>
  <si>
    <t>6.5 (5.5 - 7.5)</t>
  </si>
  <si>
    <t>1.5 (1 - 3)</t>
  </si>
  <si>
    <t>1.5 (1 - 2.5)</t>
  </si>
  <si>
    <t>7.5 (5.5 - 13)</t>
  </si>
  <si>
    <t>6 (4 - 27)</t>
  </si>
  <si>
    <t>11.5 (10 - 13)</t>
  </si>
  <si>
    <t>7.5 (5 - 11.5)</t>
  </si>
  <si>
    <t>7.5 (6 - 10.5)</t>
  </si>
  <si>
    <t>8 (6.5 - 11.5)</t>
  </si>
  <si>
    <t>2 (1 - 3.5)</t>
  </si>
  <si>
    <t>13.5 (9 - 15)</t>
  </si>
  <si>
    <t>8 (7.5 - 9)</t>
  </si>
  <si>
    <t>2.5 (2 - 3.5)</t>
  </si>
  <si>
    <t>9 (7 - 9)</t>
  </si>
  <si>
    <t>3 (3 - 3)</t>
  </si>
  <si>
    <t>12 (9.5 - 18)</t>
  </si>
  <si>
    <t>14 (12 - 17)</t>
  </si>
  <si>
    <t>14 (10 - 28)</t>
  </si>
  <si>
    <t>15 (12 - 17)</t>
  </si>
  <si>
    <t>18 (10 - 28)</t>
  </si>
  <si>
    <t>20 (13 - 34)</t>
  </si>
  <si>
    <t>5 (3 - 11)</t>
  </si>
  <si>
    <t>17 (11 - 36)</t>
  </si>
  <si>
    <t>23 (14 - 40)</t>
  </si>
  <si>
    <t>18 (14 - 32)</t>
  </si>
  <si>
    <t>18 (8 - 35)</t>
  </si>
  <si>
    <t>14 (9 - 21)</t>
  </si>
  <si>
    <t>10 (8 - 14)</t>
  </si>
  <si>
    <t>10 (7 - 20)</t>
  </si>
  <si>
    <t>22 (13 - 42)</t>
  </si>
  <si>
    <t>13 (10 - 21)</t>
  </si>
  <si>
    <t>10 (6 - 21)</t>
  </si>
  <si>
    <t>19 (10 - 38)</t>
  </si>
  <si>
    <t>11 (8 - 19)</t>
  </si>
  <si>
    <t>12 (9 - 18)</t>
  </si>
  <si>
    <t>13 (8 - 30)</t>
  </si>
  <si>
    <t>7 (5 - 17)</t>
  </si>
  <si>
    <t>14 (7 - 23)</t>
  </si>
  <si>
    <t>19 (11 - 23)</t>
  </si>
  <si>
    <t>10 (7 - 22)</t>
  </si>
  <si>
    <t>17 (8 - 29)</t>
  </si>
  <si>
    <t>8 (4 - 9)</t>
  </si>
  <si>
    <t>3 (3 - 7)</t>
  </si>
  <si>
    <t>2 (1 - 11)</t>
  </si>
  <si>
    <t>12 (6 - 18)</t>
  </si>
  <si>
    <t>18 (9 - 39)</t>
  </si>
  <si>
    <t>25 (14 - 40)</t>
  </si>
  <si>
    <t>14 (9 - 19)</t>
  </si>
  <si>
    <t>16 (11 - 26)</t>
  </si>
  <si>
    <t>14 (11 - 19)</t>
  </si>
  <si>
    <t>20 (12 - 35)</t>
  </si>
  <si>
    <t>9 (7 - 15)</t>
  </si>
  <si>
    <t>17 (8 - 31)</t>
  </si>
  <si>
    <t>15 (12 - 19)</t>
  </si>
  <si>
    <t>22 (10 - 48)</t>
  </si>
  <si>
    <t>% Adjusted Stroke and/or death  rate (2019-2021)</t>
  </si>
  <si>
    <t>12 (8 - 24)</t>
  </si>
  <si>
    <t>20 (10 - 29)</t>
  </si>
  <si>
    <t>12 (7 - 17)</t>
  </si>
  <si>
    <t>14 (7 - 22)</t>
  </si>
  <si>
    <t>15 (8 - 55)</t>
  </si>
  <si>
    <t>9 (5 - 14)</t>
  </si>
  <si>
    <t>14 (8 - 24)</t>
  </si>
  <si>
    <t>Risk-adjusted in-hospital mortality (2019-2021)</t>
  </si>
  <si>
    <t>13 (8 - 22)</t>
  </si>
  <si>
    <t>NVR Cases in 2021</t>
  </si>
  <si>
    <t>Median (IQR delay from vascular assessment to ampuation (days) for non-elective admissions (2021)</t>
  </si>
  <si>
    <t>Median (IQR) length of stay (days)
(2021)</t>
  </si>
  <si>
    <t>AKA:BKA
(2021)</t>
  </si>
  <si>
    <t>% Consultant Present in Theatre
(2021)</t>
  </si>
  <si>
    <t>% Prophylactic Antibiotics (2021)</t>
  </si>
  <si>
    <t>Adjusted 30 day in-hospital mortality
(2019-2021)</t>
  </si>
  <si>
    <t>Total lower limb revascularisation procedures
2021</t>
  </si>
  <si>
    <t>Open
2021</t>
  </si>
  <si>
    <t>Hybrid
2021</t>
  </si>
  <si>
    <t>Endovascular
2021</t>
  </si>
  <si>
    <t>CLTI waiting time cases 2021</t>
  </si>
  <si>
    <t>CLTI waiting tIme (IQR) (days) 
2021</t>
  </si>
  <si>
    <t>% CLTI treated within 5 days 2021</t>
  </si>
  <si>
    <t>CLTI cases 2021</t>
  </si>
  <si>
    <t>Treated within 5 days 2021</t>
  </si>
  <si>
    <t>Open 2021</t>
  </si>
  <si>
    <t>Hybrid 2021</t>
  </si>
  <si>
    <t>Endovascular 2021</t>
  </si>
  <si>
    <t>Total 2021</t>
  </si>
  <si>
    <t>5 (4 - 10)</t>
  </si>
  <si>
    <t>9 (4 - 14)</t>
  </si>
  <si>
    <t>RXP</t>
  </si>
  <si>
    <t>County Durham and Darlington NHS Foundation Trust</t>
  </si>
  <si>
    <t>3 (0 - 4)</t>
  </si>
  <si>
    <t>5 (1 - 9)</t>
  </si>
  <si>
    <t>7 (4 - 9)</t>
  </si>
  <si>
    <t>11 (8 - 13)</t>
  </si>
  <si>
    <t>4 (0 - 7)</t>
  </si>
  <si>
    <t>7 (4 - 14)</t>
  </si>
  <si>
    <t>7 (0 - 9)</t>
  </si>
  <si>
    <t>West Hertfordshire Teaching Hospitals NHS Trust</t>
  </si>
  <si>
    <t>NVR Cases 2021</t>
  </si>
  <si>
    <t>NVR Cases 2019-2021</t>
  </si>
  <si>
    <t>AKA:BKA  2021</t>
  </si>
  <si>
    <t>Median (IQR) length of stay (days)  2021</t>
  </si>
  <si>
    <t>% Consultant Present in Theatre 2021</t>
  </si>
  <si>
    <t>% Prophylactic Antibiotics 2021</t>
  </si>
  <si>
    <t>% Adjusted 30 day in-hospital mortality 2019-2021</t>
  </si>
  <si>
    <t>Consultant present in theatre 2021 quartile</t>
  </si>
  <si>
    <t>Prophylactic antibiotics 2021 quartile</t>
  </si>
  <si>
    <t>Med Assessment to amputation 2021</t>
  </si>
  <si>
    <t>LQ Assessment to amputation 2021</t>
  </si>
  <si>
    <t>LQ Error Assessment to amputation 2021</t>
  </si>
  <si>
    <t>UQ Assessment to amputation 2021</t>
  </si>
  <si>
    <t>UQ Error Assessment to amputation 2021</t>
  </si>
  <si>
    <t>Assessment to amputation rank 2021</t>
  </si>
  <si>
    <t>AKA:BKA2021UpperErrorBar</t>
  </si>
  <si>
    <t>AKA:BKA2021LowerErrorBar</t>
  </si>
  <si>
    <t>AKA:BKA 2021
Rank</t>
  </si>
  <si>
    <t>8 (5 - 11)</t>
  </si>
  <si>
    <t>10 (5 - 66)</t>
  </si>
  <si>
    <t>6 (2 - 12)</t>
  </si>
  <si>
    <t>8 (4 - 27)</t>
  </si>
  <si>
    <t>15 (5 - 28)</t>
  </si>
  <si>
    <t>10 (5 - 41)</t>
  </si>
  <si>
    <t>11 (4 - 28)</t>
  </si>
  <si>
    <t>7 (5 - 51)</t>
  </si>
  <si>
    <t>45 (17 - 102)</t>
  </si>
  <si>
    <t>9 (3 - 13)</t>
  </si>
  <si>
    <t>1 (1 - 14)</t>
  </si>
  <si>
    <t>7 (2 - 22)</t>
  </si>
  <si>
    <t>4 (2 - 15)</t>
  </si>
  <si>
    <t>16 (6 - 27)</t>
  </si>
  <si>
    <t>13 (5 - 48)</t>
  </si>
  <si>
    <t>9 (3 - 25)</t>
  </si>
  <si>
    <t>6 (4 - 16)</t>
  </si>
  <si>
    <t>9 (3 - 27)</t>
  </si>
  <si>
    <t>5 (1 - 5)</t>
  </si>
  <si>
    <t>6 (2 - 20)</t>
  </si>
  <si>
    <t>11 (9 - 12)</t>
  </si>
  <si>
    <t>21 (13 - 29)</t>
  </si>
  <si>
    <t>8 (4 - 41)</t>
  </si>
  <si>
    <t>12 (7 - 33)</t>
  </si>
  <si>
    <t>11 (6 - 28)</t>
  </si>
  <si>
    <t>9 (3 - 36)</t>
  </si>
  <si>
    <t>5 (3 - 15)</t>
  </si>
  <si>
    <t>5 (1 - 7)</t>
  </si>
  <si>
    <t>8 (5 - 19)</t>
  </si>
  <si>
    <t>9 (4 - 20)</t>
  </si>
  <si>
    <t>2 (2 - 15)</t>
  </si>
  <si>
    <t>14 (4 - 20)</t>
  </si>
  <si>
    <t>5 (3 - 17)</t>
  </si>
  <si>
    <t>10 (4 - 30)</t>
  </si>
  <si>
    <t>12 (4 - 53)</t>
  </si>
  <si>
    <t>9 (3 - 22)</t>
  </si>
  <si>
    <t>8 (3 - 33)</t>
  </si>
  <si>
    <t>8 (2 - 18)</t>
  </si>
  <si>
    <t>10 (6 - 22)</t>
  </si>
  <si>
    <t>14 (3 - 34)</t>
  </si>
  <si>
    <t>4 (1 - 34)</t>
  </si>
  <si>
    <t>29 (18 - 65)</t>
  </si>
  <si>
    <t>29 (21 - 39)</t>
  </si>
  <si>
    <t>15 (8 - 23)</t>
  </si>
  <si>
    <t>18 (11 - 35)</t>
  </si>
  <si>
    <t>30 (21 - 42)</t>
  </si>
  <si>
    <t>22 (15 - 32)</t>
  </si>
  <si>
    <t>17 (12 - 32)</t>
  </si>
  <si>
    <t>21 (13 - 39)</t>
  </si>
  <si>
    <t>17 (12 - 30)</t>
  </si>
  <si>
    <t>34 (8 - 63)</t>
  </si>
  <si>
    <t>19 (8 - 31)</t>
  </si>
  <si>
    <t>23 (16 - 40)</t>
  </si>
  <si>
    <t>15 (12 - 16)</t>
  </si>
  <si>
    <t>24 (15 - 33)</t>
  </si>
  <si>
    <t>27 (16 - 40)</t>
  </si>
  <si>
    <t>10 (7 - 19)</t>
  </si>
  <si>
    <t>33 (21 - 41)</t>
  </si>
  <si>
    <t>15 (9 - 22)</t>
  </si>
  <si>
    <t>23 (17 - 41)</t>
  </si>
  <si>
    <t>34 (28 - 40)</t>
  </si>
  <si>
    <t>25 (18 - 41)</t>
  </si>
  <si>
    <t>21 (11 - 32)</t>
  </si>
  <si>
    <t>26 (15 - 51)</t>
  </si>
  <si>
    <t>23 (14 - 37)</t>
  </si>
  <si>
    <t>35 (17 - 49)</t>
  </si>
  <si>
    <t>31 (23 - 58)</t>
  </si>
  <si>
    <t>16 (9 - 23)</t>
  </si>
  <si>
    <t>23 (16 - 33)</t>
  </si>
  <si>
    <t>50 (8 - 60)</t>
  </si>
  <si>
    <t>23 (9 - 46)</t>
  </si>
  <si>
    <t>41 (27 - 58)</t>
  </si>
  <si>
    <t>27 (15 - 51)</t>
  </si>
  <si>
    <t>14 (12 - 26)</t>
  </si>
  <si>
    <t>50 (31 - 68)</t>
  </si>
  <si>
    <t>14 (10 - 24)</t>
  </si>
  <si>
    <t>20 (11 - 27)</t>
  </si>
  <si>
    <t>15 (8 - 24)</t>
  </si>
  <si>
    <t>26 (11 - 42)</t>
  </si>
  <si>
    <t>21 (12 - 34)</t>
  </si>
  <si>
    <t>14 (8 - 32)</t>
  </si>
  <si>
    <t>25 (18 - 33)</t>
  </si>
  <si>
    <t>29 (15 - 97)</t>
  </si>
  <si>
    <t>29 (15 - 43)</t>
  </si>
  <si>
    <t>23 (15 - 35)</t>
  </si>
  <si>
    <t>29 (17 - 41)</t>
  </si>
  <si>
    <t>18 (16 - 24)</t>
  </si>
  <si>
    <t>24 (17 - 40)</t>
  </si>
  <si>
    <t>21 (11 - 35)</t>
  </si>
  <si>
    <t>25 (21 - 34)</t>
  </si>
  <si>
    <t>13 (10 - 22)</t>
  </si>
  <si>
    <t>19 (13 - 29)</t>
  </si>
  <si>
    <t>14 (9 - 24)</t>
  </si>
  <si>
    <t>24 (10 - 41)</t>
  </si>
  <si>
    <t>14 (9 - 26)</t>
  </si>
  <si>
    <t>16 (12 - 22)</t>
  </si>
  <si>
    <t>13 (9 - 21)</t>
  </si>
  <si>
    <t>33 (24 - 46)</t>
  </si>
  <si>
    <t>19 (10 - 22)</t>
  </si>
  <si>
    <t>15 (7 - 24)</t>
  </si>
  <si>
    <t>AKA 2021</t>
  </si>
  <si>
    <t>BKA 2021</t>
  </si>
  <si>
    <t>Median (IQR delay from vascular assessment to ampuation (days) for non-elective admissions  2021</t>
  </si>
  <si>
    <t>AKA:BKA 2021 95CILower</t>
  </si>
  <si>
    <t>AKA:BKA 2021 95CIUpper</t>
  </si>
  <si>
    <t>Funnel Plot X axis Value</t>
  </si>
  <si>
    <t>CLTI Waiting Time Median</t>
  </si>
  <si>
    <t>CLTI Waiting Time LQ</t>
  </si>
  <si>
    <t>CLTI Wating Time UQ</t>
  </si>
  <si>
    <t>CLTI Waiting Time Lower Error Bar</t>
  </si>
  <si>
    <t>CLTI Waiting Time Upper Error Bar</t>
  </si>
  <si>
    <t>Treated within 5 days Lower CI</t>
  </si>
  <si>
    <t>Treated within 5 days Upper CI</t>
  </si>
  <si>
    <t>Treated within 5 days Lower Error Bar</t>
  </si>
  <si>
    <t>Treated within 5 days Upper Error Bar</t>
  </si>
  <si>
    <t>CLTI Graph Upper Error Bar</t>
  </si>
  <si>
    <t>CLTI Graph Value</t>
  </si>
  <si>
    <t>N/</t>
  </si>
  <si>
    <t>CLTI Graph Lower Error Bar</t>
  </si>
  <si>
    <t>Trust Open</t>
  </si>
  <si>
    <t>Trust Hybrid</t>
  </si>
  <si>
    <t>Trust Endo</t>
  </si>
  <si>
    <t>NVR angio cases 2019-2021</t>
  </si>
  <si>
    <t>NVR angio cases 2019</t>
  </si>
  <si>
    <t>NVR angio cases 2020</t>
  </si>
  <si>
    <t>NVR angio cases 2021</t>
  </si>
  <si>
    <t>Median (IQR) length of stay (days) 2021 angio</t>
  </si>
  <si>
    <t>Readmission denominator angio 2021</t>
  </si>
  <si>
    <t>30-day readmission 2021 angio</t>
  </si>
  <si>
    <t>Elective angios 2021</t>
  </si>
  <si>
    <t>Day Cases 2021</t>
  </si>
  <si>
    <t>Adjusted in-hospital mortality angio</t>
  </si>
  <si>
    <t>3 (0 - 10)</t>
  </si>
  <si>
    <t>6 (0 - 21)</t>
  </si>
  <si>
    <t>21 (8 - 28)</t>
  </si>
  <si>
    <t>1 (1 - 19)</t>
  </si>
  <si>
    <t>13 (2 - 23)</t>
  </si>
  <si>
    <t>2 (0 - 9)</t>
  </si>
  <si>
    <t>1 (0 - 20)</t>
  </si>
  <si>
    <t>1 (1 - 8)</t>
  </si>
  <si>
    <t>8 (1 - 21)</t>
  </si>
  <si>
    <t>2 (0 - 7)</t>
  </si>
  <si>
    <t>1 (0 - 11)</t>
  </si>
  <si>
    <t>7 (0 - 21)</t>
  </si>
  <si>
    <t>2 (0 - 13)</t>
  </si>
  <si>
    <t>3 (1 - 13)</t>
  </si>
  <si>
    <t>3 (1 - 11)</t>
  </si>
  <si>
    <t>9 (0 - 19)</t>
  </si>
  <si>
    <t>4 (0 - 14)</t>
  </si>
  <si>
    <t>3 (0 - 15)</t>
  </si>
  <si>
    <t>7 (0 - 12)</t>
  </si>
  <si>
    <t>5 (0 - 17)</t>
  </si>
  <si>
    <t>NVR cases
2021</t>
  </si>
  <si>
    <t>NVR cases
2019-2021</t>
  </si>
  <si>
    <t>Day Cases
2021</t>
  </si>
  <si>
    <t>Median (IQR) length of stay (days)
2021</t>
  </si>
  <si>
    <t>% Adjusted in-hospital mortality
2019-2021</t>
  </si>
  <si>
    <t>Readmission within 30 days
2021</t>
  </si>
  <si>
    <t>Day Case Graph Order</t>
  </si>
  <si>
    <t>Day Case Lower 95% CI</t>
  </si>
  <si>
    <t>Day Case Upper 95% CI</t>
  </si>
  <si>
    <t>Day Case Lower Error Bar</t>
  </si>
  <si>
    <t>Day Case Upper Error Bar</t>
  </si>
  <si>
    <t>Plot Value</t>
  </si>
  <si>
    <t>NVR bypass cases 2019-2021</t>
  </si>
  <si>
    <t>NVR bypass cases 2019</t>
  </si>
  <si>
    <t>NVR bypass cases 2020</t>
  </si>
  <si>
    <t>NVR bypass cases 2021</t>
  </si>
  <si>
    <t>Median (IQR) length of stay (days) 2021 bypass</t>
  </si>
  <si>
    <t>Readmission denominator bypass 2021</t>
  </si>
  <si>
    <t>30-day readmission 2021 bypass</t>
  </si>
  <si>
    <t>Adjusted in-hospital mortality bypass</t>
  </si>
  <si>
    <t>13 (6 - 23)</t>
  </si>
  <si>
    <t>15 (7 - 29)</t>
  </si>
  <si>
    <t>4 (2 - 13)</t>
  </si>
  <si>
    <t>11 (5 - 20)</t>
  </si>
  <si>
    <t>9 (5 - 16)</t>
  </si>
  <si>
    <t>8 (5 - 16)</t>
  </si>
  <si>
    <t>15 (7 - 27)</t>
  </si>
  <si>
    <t>8 (4 - 16)</t>
  </si>
  <si>
    <t>6 (4 - 15)</t>
  </si>
  <si>
    <t>11 (4 - 24)</t>
  </si>
  <si>
    <t>10 (4 - 23)</t>
  </si>
  <si>
    <t>17 (9 - 27)</t>
  </si>
  <si>
    <t>12 (6 - 30)</t>
  </si>
  <si>
    <t>11 (5 - 18)</t>
  </si>
  <si>
    <t>10 (5 - 18)</t>
  </si>
  <si>
    <t>15 (6 - 24)</t>
  </si>
  <si>
    <t>10 (5 - 15)</t>
  </si>
  <si>
    <t>10 (6 - 19)</t>
  </si>
  <si>
    <t>12 (7 - 20)</t>
  </si>
  <si>
    <t>7 (6 - 18)</t>
  </si>
  <si>
    <t>10 (7 - 17)</t>
  </si>
  <si>
    <t>6 (4 - 11)</t>
  </si>
  <si>
    <t>11 (5 - 22)</t>
  </si>
  <si>
    <t>10 (5 - 14)</t>
  </si>
  <si>
    <t>9 (4 - 23)</t>
  </si>
  <si>
    <t>7 (3 - 12)</t>
  </si>
  <si>
    <t>10 (7 - 18)</t>
  </si>
  <si>
    <t>12 (7 - 19)</t>
  </si>
  <si>
    <t>4 (3 - 11)</t>
  </si>
  <si>
    <t>8 (4 - 12)</t>
  </si>
  <si>
    <t>5 (4 - 11)</t>
  </si>
  <si>
    <t>% Adjusted in-hospital mortality 2019-2021</t>
  </si>
  <si>
    <t>7 (3 - 19)</t>
  </si>
  <si>
    <t>21 (13 - 34)</t>
  </si>
  <si>
    <r>
      <t xml:space="preserve">Lower 95% CI AssProc </t>
    </r>
    <r>
      <rPr>
        <b/>
        <sz val="11"/>
        <color rgb="FF000000"/>
        <rFont val="Calibri"/>
        <family val="2"/>
      </rPr>
      <t>≤30 days</t>
    </r>
  </si>
  <si>
    <r>
      <t xml:space="preserve">Upper 95% CI AssProc </t>
    </r>
    <r>
      <rPr>
        <b/>
        <sz val="11"/>
        <color rgb="FF000000"/>
        <rFont val="Calibri"/>
        <family val="2"/>
      </rPr>
      <t>≤30 days</t>
    </r>
  </si>
  <si>
    <r>
      <t xml:space="preserve">% patients with time to amputation from assessment </t>
    </r>
    <r>
      <rPr>
        <b/>
        <sz val="11"/>
        <color rgb="FF000000"/>
        <rFont val="Calibri"/>
        <family val="2"/>
      </rPr>
      <t>≤</t>
    </r>
    <r>
      <rPr>
        <b/>
        <sz val="11"/>
        <color rgb="FF000000"/>
        <rFont val="Calibri"/>
        <family val="2"/>
        <scheme val="minor"/>
      </rPr>
      <t>30 days  for non-elective admissions  2021</t>
    </r>
  </si>
  <si>
    <t>AssProc Lower Error Bar</t>
  </si>
  <si>
    <t>AssProc Upper Error Bar</t>
  </si>
  <si>
    <t>%EVAR Lower 95% CI</t>
  </si>
  <si>
    <t>%EVAR Upper 95% CI</t>
  </si>
  <si>
    <t>%EVAR Lower 95% CI Error Bar</t>
  </si>
  <si>
    <t>%EVAR Upper 95% CI Error Bar</t>
  </si>
  <si>
    <t>AssProc LQ Error Bar</t>
  </si>
  <si>
    <t>AssProc UQ Error Bar</t>
  </si>
  <si>
    <t>% of patients receiving surgery within 8 weeks of assessment Lower 95% CI</t>
  </si>
  <si>
    <t>% of patients receiving surgery within 8 weeks of assessment Upper 95% CI</t>
  </si>
  <si>
    <t>AssProc &lt;8 weeks Upper ErrorBar</t>
  </si>
  <si>
    <t>AssProc &lt;8 weeks Lower ErrorBar</t>
  </si>
  <si>
    <t>89 (45 - 161)</t>
  </si>
  <si>
    <t>52 (28 - 93)</t>
  </si>
  <si>
    <t>72 (33 - 170)</t>
  </si>
  <si>
    <t>127 (75 - 184)</t>
  </si>
  <si>
    <t>100 (55 - 151)</t>
  </si>
  <si>
    <t>68 (43 - 127)</t>
  </si>
  <si>
    <t>126 (72 - 194)</t>
  </si>
  <si>
    <t>68 (30 - 98)</t>
  </si>
  <si>
    <t>75 (38 - 106)</t>
  </si>
  <si>
    <t>134 (100 - 204)</t>
  </si>
  <si>
    <t>88 (42 - 134)</t>
  </si>
  <si>
    <t>101 (49 - 179)</t>
  </si>
  <si>
    <t>77 (34 - 129)</t>
  </si>
  <si>
    <t>135 (41 - 229)</t>
  </si>
  <si>
    <t>35 (16 - 69)</t>
  </si>
  <si>
    <t>74 (29 - 148)</t>
  </si>
  <si>
    <t>114 (57 - 188)</t>
  </si>
  <si>
    <t>149 (74 - 212)</t>
  </si>
  <si>
    <t>61 (25 - 124)</t>
  </si>
  <si>
    <t>80 (46 - 134)</t>
  </si>
  <si>
    <t>94 (57 - 131)</t>
  </si>
  <si>
    <t>159 (91 - 270)</t>
  </si>
  <si>
    <t>89 (51 - 134)</t>
  </si>
  <si>
    <t>78 (54 - 118)</t>
  </si>
  <si>
    <t>83 (49 - 137)</t>
  </si>
  <si>
    <t>140 (89 - 167)</t>
  </si>
  <si>
    <t>48 (36 - 95)</t>
  </si>
  <si>
    <t>61 (49 - 97)</t>
  </si>
  <si>
    <t>116 (51 - 222)</t>
  </si>
  <si>
    <t>78 (57 - 137)</t>
  </si>
  <si>
    <t>148 (132 - 216)</t>
  </si>
  <si>
    <t>65 (32 - 107)</t>
  </si>
  <si>
    <t>78 (44 - 128)</t>
  </si>
  <si>
    <t>83 (49 - 117)</t>
  </si>
  <si>
    <t>82 (54 - 147)</t>
  </si>
  <si>
    <t>66 (34 - 101)</t>
  </si>
  <si>
    <t>71 (48 - 98)</t>
  </si>
  <si>
    <t>126 (59 - 222)</t>
  </si>
  <si>
    <t>69 (37 - 130)</t>
  </si>
  <si>
    <t>50 (27 - 77)</t>
  </si>
  <si>
    <t>64 (40 - 108)</t>
  </si>
  <si>
    <t>85 (44 - 123)</t>
  </si>
  <si>
    <t>167 (115 - 309)</t>
  </si>
  <si>
    <t>96 (55 - 154)</t>
  </si>
  <si>
    <t>107 (76 - 154)</t>
  </si>
  <si>
    <t>65 (45 - 101)</t>
  </si>
  <si>
    <t>75 (46 - 129)</t>
  </si>
  <si>
    <t>211 (112 - 271)</t>
  </si>
  <si>
    <t>90 (56 - 131)</t>
  </si>
  <si>
    <t>96 (63 - 110)</t>
  </si>
  <si>
    <t>119 (71 - 194)</t>
  </si>
  <si>
    <t>69 (38 - 108)</t>
  </si>
  <si>
    <t>154 (71 - 218)</t>
  </si>
  <si>
    <t>197 (76 - 303)</t>
  </si>
  <si>
    <t>96 (65 - 144)</t>
  </si>
  <si>
    <t>81 (48 - 148)</t>
  </si>
  <si>
    <t>101 (53 - 148)</t>
  </si>
  <si>
    <t>100 (67 - 219)</t>
  </si>
  <si>
    <t>63 (35 - 89)</t>
  </si>
  <si>
    <t>127 (48 - 247)</t>
  </si>
  <si>
    <t>53 (33 - 95)</t>
  </si>
  <si>
    <t>113 (68 - 177)</t>
  </si>
  <si>
    <t>AssProc Plot Order</t>
  </si>
  <si>
    <t>CLTI waiting Time (IQR) (days) 2021</t>
  </si>
  <si>
    <t>Treated within 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</si>
</sst>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\%"/>
  </numFmts>
  <fonts count="1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0" fillId="0" borderId="0"/>
    <xf numFmtId="0" fontId="10" fillId="0" borderId="0"/>
  </cellStyleXfs>
  <cellXfs count="216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/>
    <xf numFmtId="164" fontId="0" fillId="0" borderId="2" xfId="0" applyNumberFormat="1" applyBorder="1"/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6" fillId="2" borderId="0" xfId="0" applyFont="1" applyFill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10" fontId="0" fillId="0" borderId="0" xfId="0" applyNumberFormat="1"/>
    <xf numFmtId="0" fontId="1" fillId="0" borderId="0" xfId="0" applyFont="1" applyAlignment="1">
      <alignment wrapText="1"/>
    </xf>
    <xf numFmtId="9" fontId="9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0" fillId="0" borderId="2" xfId="0" applyNumberFormat="1" applyBorder="1"/>
    <xf numFmtId="9" fontId="0" fillId="0" borderId="2" xfId="0" applyNumberForma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9" fontId="9" fillId="0" borderId="0" xfId="0" applyNumberFormat="1" applyFont="1" applyFill="1"/>
    <xf numFmtId="0" fontId="9" fillId="0" borderId="0" xfId="0" applyNumberFormat="1" applyFont="1"/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0" fontId="9" fillId="0" borderId="0" xfId="0" applyFont="1" applyBorder="1" applyAlignment="1">
      <alignment horizontal="right" vertical="center"/>
    </xf>
    <xf numFmtId="9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0" fontId="9" fillId="0" borderId="0" xfId="0" applyNumberFormat="1" applyFont="1"/>
    <xf numFmtId="3" fontId="9" fillId="0" borderId="2" xfId="0" applyNumberFormat="1" applyFont="1" applyBorder="1"/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/>
    <xf numFmtId="9" fontId="9" fillId="0" borderId="2" xfId="0" applyNumberFormat="1" applyFont="1" applyBorder="1"/>
    <xf numFmtId="0" fontId="5" fillId="2" borderId="0" xfId="0" applyFont="1" applyFill="1" applyAlignment="1">
      <alignment wrapText="1"/>
    </xf>
    <xf numFmtId="9" fontId="0" fillId="0" borderId="0" xfId="0" applyNumberFormat="1"/>
    <xf numFmtId="9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/>
    <xf numFmtId="0" fontId="2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horizontal="center"/>
    </xf>
    <xf numFmtId="3" fontId="0" fillId="0" borderId="2" xfId="0" applyNumberFormat="1" applyFont="1" applyBorder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164" fontId="7" fillId="0" borderId="0" xfId="3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0" fillId="0" borderId="2" xfId="0" applyNumberFormat="1" applyFont="1" applyBorder="1" applyAlignment="1">
      <alignment horizontal="right"/>
    </xf>
    <xf numFmtId="0" fontId="9" fillId="0" borderId="0" xfId="0" applyNumberFormat="1" applyFont="1" applyFill="1"/>
    <xf numFmtId="0" fontId="7" fillId="0" borderId="0" xfId="3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3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0" fontId="0" fillId="0" borderId="0" xfId="1" applyNumberFormat="1" applyFont="1" applyAlignment="1">
      <alignment horizontal="center" vertical="center"/>
    </xf>
    <xf numFmtId="9" fontId="0" fillId="0" borderId="2" xfId="0" applyNumberFormat="1" applyFont="1" applyFill="1" applyBorder="1" applyAlignment="1">
      <alignment horizontal="right"/>
    </xf>
    <xf numFmtId="9" fontId="0" fillId="0" borderId="2" xfId="0" applyNumberFormat="1" applyFont="1" applyFill="1" applyBorder="1"/>
    <xf numFmtId="0" fontId="1" fillId="0" borderId="2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9" fillId="0" borderId="0" xfId="0" applyFont="1" applyBorder="1"/>
    <xf numFmtId="9" fontId="0" fillId="0" borderId="0" xfId="1" applyFont="1" applyFill="1" applyAlignment="1">
      <alignment horizontal="center"/>
    </xf>
    <xf numFmtId="2" fontId="0" fillId="0" borderId="2" xfId="0" applyNumberFormat="1" applyFont="1" applyBorder="1" applyAlignment="1">
      <alignment horizontal="right"/>
    </xf>
    <xf numFmtId="0" fontId="7" fillId="4" borderId="3" xfId="3" applyFont="1" applyFill="1" applyBorder="1" applyAlignment="1">
      <alignment horizontal="center" vertical="center"/>
    </xf>
    <xf numFmtId="0" fontId="7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9" fontId="0" fillId="0" borderId="5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9" fontId="0" fillId="0" borderId="7" xfId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9" fontId="0" fillId="0" borderId="10" xfId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/>
    <xf numFmtId="1" fontId="15" fillId="0" borderId="0" xfId="0" applyNumberFormat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right"/>
    </xf>
    <xf numFmtId="9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2" fontId="0" fillId="0" borderId="0" xfId="0" applyNumberFormat="1"/>
    <xf numFmtId="0" fontId="7" fillId="5" borderId="3" xfId="3" applyFont="1" applyFill="1" applyBorder="1" applyAlignment="1">
      <alignment horizontal="center" vertical="center" wrapText="1"/>
    </xf>
    <xf numFmtId="0" fontId="7" fillId="5" borderId="4" xfId="3" applyFont="1" applyFill="1" applyBorder="1" applyAlignment="1">
      <alignment horizontal="center" vertical="center" wrapText="1"/>
    </xf>
    <xf numFmtId="164" fontId="7" fillId="5" borderId="4" xfId="3" applyNumberFormat="1" applyFont="1" applyFill="1" applyBorder="1" applyAlignment="1">
      <alignment horizontal="center" vertical="center" wrapText="1"/>
    </xf>
    <xf numFmtId="9" fontId="7" fillId="5" borderId="4" xfId="3" applyNumberFormat="1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7" fillId="6" borderId="3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164" fontId="7" fillId="6" borderId="4" xfId="3" applyNumberFormat="1" applyFont="1" applyFill="1" applyBorder="1" applyAlignment="1">
      <alignment horizontal="center" vertical="center" wrapText="1"/>
    </xf>
    <xf numFmtId="10" fontId="7" fillId="6" borderId="5" xfId="3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9" fontId="9" fillId="0" borderId="2" xfId="0" applyNumberFormat="1" applyFont="1" applyFill="1" applyBorder="1"/>
    <xf numFmtId="1" fontId="15" fillId="0" borderId="0" xfId="0" applyNumberFormat="1" applyFont="1" applyAlignment="1"/>
    <xf numFmtId="164" fontId="15" fillId="0" borderId="0" xfId="0" applyNumberFormat="1" applyFont="1" applyAlignment="1"/>
    <xf numFmtId="164" fontId="0" fillId="0" borderId="0" xfId="0" applyNumberFormat="1" applyFont="1"/>
    <xf numFmtId="0" fontId="15" fillId="0" borderId="0" xfId="0" applyNumberFormat="1" applyFont="1" applyAlignment="1">
      <alignment horizontal="center"/>
    </xf>
    <xf numFmtId="0" fontId="0" fillId="0" borderId="0" xfId="0" applyNumberFormat="1" applyFill="1"/>
    <xf numFmtId="9" fontId="4" fillId="0" borderId="0" xfId="0" applyNumberFormat="1" applyFont="1" applyFill="1" applyAlignment="1">
      <alignment horizontal="center" vertical="center"/>
    </xf>
    <xf numFmtId="10" fontId="7" fillId="0" borderId="0" xfId="3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7" fillId="0" borderId="0" xfId="0" applyFont="1"/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Alignment="1"/>
    <xf numFmtId="9" fontId="17" fillId="0" borderId="0" xfId="1" applyNumberFormat="1" applyFont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0" xfId="3" applyFont="1" applyAlignment="1">
      <alignment horizontal="center" vertical="center"/>
    </xf>
    <xf numFmtId="0" fontId="18" fillId="4" borderId="0" xfId="3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0" fontId="17" fillId="0" borderId="0" xfId="0" applyNumberFormat="1" applyFont="1"/>
    <xf numFmtId="0" fontId="17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0" fontId="6" fillId="3" borderId="0" xfId="0" applyFont="1" applyFill="1"/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Summary'!$L$3</c:f>
          <c:strCache>
            <c:ptCount val="1"/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'AAA Summary'!$AH$1</c:f>
              <c:strCache>
                <c:ptCount val="1"/>
                <c:pt idx="0">
                  <c:v>%EVAR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'AAA Summary'!$AE$2:$AE$71</c:f>
              <c:strCache>
                <c:ptCount val="70"/>
                <c:pt idx="0">
                  <c:v>R1K</c:v>
                </c:pt>
                <c:pt idx="1">
                  <c:v>RT3</c:v>
                </c:pt>
                <c:pt idx="2">
                  <c:v>RA9</c:v>
                </c:pt>
                <c:pt idx="3">
                  <c:v>RF4</c:v>
                </c:pt>
                <c:pt idx="4">
                  <c:v>RC1</c:v>
                </c:pt>
                <c:pt idx="5">
                  <c:v>RJ7</c:v>
                </c:pt>
                <c:pt idx="6">
                  <c:v>RAJ</c:v>
                </c:pt>
                <c:pt idx="7">
                  <c:v>RYJ</c:v>
                </c:pt>
                <c:pt idx="8">
                  <c:v>7A4</c:v>
                </c:pt>
                <c:pt idx="9">
                  <c:v>RDE</c:v>
                </c:pt>
                <c:pt idx="10">
                  <c:v>RDU</c:v>
                </c:pt>
                <c:pt idx="11">
                  <c:v>R0B</c:v>
                </c:pt>
                <c:pt idx="12">
                  <c:v>RYR</c:v>
                </c:pt>
                <c:pt idx="13">
                  <c:v>RVV</c:v>
                </c:pt>
                <c:pt idx="14">
                  <c:v>RW6</c:v>
                </c:pt>
                <c:pt idx="15">
                  <c:v>RJR</c:v>
                </c:pt>
                <c:pt idx="16">
                  <c:v>RJ1</c:v>
                </c:pt>
                <c:pt idx="17">
                  <c:v>SG999</c:v>
                </c:pt>
                <c:pt idx="18">
                  <c:v>RNS</c:v>
                </c:pt>
                <c:pt idx="19">
                  <c:v>RWG</c:v>
                </c:pt>
                <c:pt idx="20">
                  <c:v>RRK</c:v>
                </c:pt>
                <c:pt idx="21">
                  <c:v>SN999</c:v>
                </c:pt>
                <c:pt idx="22">
                  <c:v>SL999</c:v>
                </c:pt>
                <c:pt idx="23">
                  <c:v>RNA</c:v>
                </c:pt>
                <c:pt idx="24">
                  <c:v>RXN</c:v>
                </c:pt>
                <c:pt idx="25">
                  <c:v>R0A</c:v>
                </c:pt>
                <c:pt idx="26">
                  <c:v>RXW</c:v>
                </c:pt>
                <c:pt idx="27">
                  <c:v>RKB</c:v>
                </c:pt>
                <c:pt idx="28">
                  <c:v>RXR</c:v>
                </c:pt>
                <c:pt idx="29">
                  <c:v>RH5</c:v>
                </c:pt>
                <c:pt idx="30">
                  <c:v>RTR</c:v>
                </c:pt>
                <c:pt idx="31">
                  <c:v>RTK</c:v>
                </c:pt>
                <c:pt idx="32">
                  <c:v>RVJ</c:v>
                </c:pt>
                <c:pt idx="33">
                  <c:v>RAL</c:v>
                </c:pt>
                <c:pt idx="34">
                  <c:v>7A6</c:v>
                </c:pt>
                <c:pt idx="35">
                  <c:v>RR8</c:v>
                </c:pt>
                <c:pt idx="36">
                  <c:v>R0D</c:v>
                </c:pt>
                <c:pt idx="37">
                  <c:v>R1H</c:v>
                </c:pt>
                <c:pt idx="38">
                  <c:v>RWA</c:v>
                </c:pt>
                <c:pt idx="39">
                  <c:v>RTG</c:v>
                </c:pt>
                <c:pt idx="40">
                  <c:v>RWE</c:v>
                </c:pt>
                <c:pt idx="41">
                  <c:v>RHM</c:v>
                </c:pt>
                <c:pt idx="42">
                  <c:v>RQW</c:v>
                </c:pt>
                <c:pt idx="43">
                  <c:v>RWP</c:v>
                </c:pt>
                <c:pt idx="44">
                  <c:v>REF</c:v>
                </c:pt>
                <c:pt idx="45">
                  <c:v>7A1</c:v>
                </c:pt>
                <c:pt idx="46">
                  <c:v>RWH</c:v>
                </c:pt>
                <c:pt idx="47">
                  <c:v>RP5</c:v>
                </c:pt>
                <c:pt idx="48">
                  <c:v>RX1</c:v>
                </c:pt>
                <c:pt idx="49">
                  <c:v>RJE</c:v>
                </c:pt>
                <c:pt idx="50">
                  <c:v>RNL</c:v>
                </c:pt>
                <c:pt idx="51">
                  <c:v>RGT</c:v>
                </c:pt>
                <c:pt idx="52">
                  <c:v>RTE</c:v>
                </c:pt>
                <c:pt idx="53">
                  <c:v>REM</c:v>
                </c:pt>
                <c:pt idx="54">
                  <c:v>ZT001</c:v>
                </c:pt>
                <c:pt idx="55">
                  <c:v>RM1</c:v>
                </c:pt>
                <c:pt idx="56">
                  <c:v>RHQ</c:v>
                </c:pt>
                <c:pt idx="57">
                  <c:v>RK9</c:v>
                </c:pt>
                <c:pt idx="58">
                  <c:v>7A3</c:v>
                </c:pt>
                <c:pt idx="59">
                  <c:v>RTD</c:v>
                </c:pt>
                <c:pt idx="60">
                  <c:v>RTH</c:v>
                </c:pt>
                <c:pt idx="61">
                  <c:v>RBQ</c:v>
                </c:pt>
                <c:pt idx="62">
                  <c:v>SS999</c:v>
                </c:pt>
                <c:pt idx="63">
                  <c:v>RCB</c:v>
                </c:pt>
                <c:pt idx="64">
                  <c:v>SH999</c:v>
                </c:pt>
                <c:pt idx="65">
                  <c:v>RH8</c:v>
                </c:pt>
                <c:pt idx="66">
                  <c:v>RWD</c:v>
                </c:pt>
                <c:pt idx="67">
                  <c:v>RAE</c:v>
                </c:pt>
                <c:pt idx="68">
                  <c:v>SA999</c:v>
                </c:pt>
                <c:pt idx="69">
                  <c:v>ST999</c:v>
                </c:pt>
              </c:strCache>
            </c:strRef>
          </c:cat>
          <c:val>
            <c:numRef>
              <c:f>'AAA Summary'!$AH$2:$AH$71</c:f>
              <c:numCache>
                <c:formatCode>0%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0.94117647058823528</c:v>
                </c:pt>
                <c:pt idx="4">
                  <c:v>0.92105263157894735</c:v>
                </c:pt>
                <c:pt idx="5">
                  <c:v>0.87804878048780488</c:v>
                </c:pt>
                <c:pt idx="6">
                  <c:v>0.83333333333333337</c:v>
                </c:pt>
                <c:pt idx="7">
                  <c:v>0.81481481481481477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0.79487179487179482</c:v>
                </c:pt>
                <c:pt idx="12">
                  <c:v>0.78688524590163933</c:v>
                </c:pt>
                <c:pt idx="13">
                  <c:v>0.77777777777777779</c:v>
                </c:pt>
                <c:pt idx="14">
                  <c:v>0.77777777777777779</c:v>
                </c:pt>
                <c:pt idx="15">
                  <c:v>0.77551020408163263</c:v>
                </c:pt>
                <c:pt idx="16">
                  <c:v>0.75806451612903225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0.72222222222222221</c:v>
                </c:pt>
                <c:pt idx="21">
                  <c:v>0.70588235294117652</c:v>
                </c:pt>
                <c:pt idx="22">
                  <c:v>0.7</c:v>
                </c:pt>
                <c:pt idx="23">
                  <c:v>0.66666666666666663</c:v>
                </c:pt>
                <c:pt idx="24">
                  <c:v>0.6607142857142857</c:v>
                </c:pt>
                <c:pt idx="25">
                  <c:v>0.65454545454545454</c:v>
                </c:pt>
                <c:pt idx="26">
                  <c:v>0.64</c:v>
                </c:pt>
                <c:pt idx="27">
                  <c:v>0.63636363636363635</c:v>
                </c:pt>
                <c:pt idx="28">
                  <c:v>0.625</c:v>
                </c:pt>
                <c:pt idx="29">
                  <c:v>0.6097560975609756</c:v>
                </c:pt>
                <c:pt idx="30">
                  <c:v>0.60869565217391308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0.57999999999999996</c:v>
                </c:pt>
                <c:pt idx="37">
                  <c:v>0.57894736842105265</c:v>
                </c:pt>
                <c:pt idx="38">
                  <c:v>0.56521739130434778</c:v>
                </c:pt>
                <c:pt idx="39">
                  <c:v>0.56521739130434778</c:v>
                </c:pt>
                <c:pt idx="40">
                  <c:v>0.5641025641025641</c:v>
                </c:pt>
                <c:pt idx="41">
                  <c:v>0.55263157894736847</c:v>
                </c:pt>
                <c:pt idx="42">
                  <c:v>0.54545454545454541</c:v>
                </c:pt>
                <c:pt idx="43">
                  <c:v>0.54166666666666663</c:v>
                </c:pt>
                <c:pt idx="44">
                  <c:v>0.53846153846153844</c:v>
                </c:pt>
                <c:pt idx="45">
                  <c:v>0.53333333333333333</c:v>
                </c:pt>
                <c:pt idx="46">
                  <c:v>0.53333333333333333</c:v>
                </c:pt>
                <c:pt idx="47">
                  <c:v>0.5</c:v>
                </c:pt>
                <c:pt idx="48">
                  <c:v>0.5</c:v>
                </c:pt>
                <c:pt idx="49">
                  <c:v>0.4925373134328358</c:v>
                </c:pt>
                <c:pt idx="50">
                  <c:v>0.47619047619047616</c:v>
                </c:pt>
                <c:pt idx="51">
                  <c:v>0.47457627118644069</c:v>
                </c:pt>
                <c:pt idx="52">
                  <c:v>0.47058823529411764</c:v>
                </c:pt>
                <c:pt idx="53">
                  <c:v>0.45652173913043476</c:v>
                </c:pt>
                <c:pt idx="54">
                  <c:v>0.45333333333333331</c:v>
                </c:pt>
                <c:pt idx="55">
                  <c:v>0.43137254901960786</c:v>
                </c:pt>
                <c:pt idx="56">
                  <c:v>0.41666666666666669</c:v>
                </c:pt>
                <c:pt idx="57">
                  <c:v>0.41666666666666669</c:v>
                </c:pt>
                <c:pt idx="58">
                  <c:v>0.40740740740740738</c:v>
                </c:pt>
                <c:pt idx="59">
                  <c:v>0.4</c:v>
                </c:pt>
                <c:pt idx="60">
                  <c:v>0.37777777777777777</c:v>
                </c:pt>
                <c:pt idx="61">
                  <c:v>0.375</c:v>
                </c:pt>
                <c:pt idx="62">
                  <c:v>0.33333333333333331</c:v>
                </c:pt>
                <c:pt idx="63">
                  <c:v>0.26923076923076922</c:v>
                </c:pt>
                <c:pt idx="64">
                  <c:v>0.25</c:v>
                </c:pt>
                <c:pt idx="65">
                  <c:v>0.21212121212121213</c:v>
                </c:pt>
                <c:pt idx="66">
                  <c:v>0.16666666666666666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E-4078-9FBD-71A63982E0D1}"/>
            </c:ext>
          </c:extLst>
        </c:ser>
        <c:ser>
          <c:idx val="1"/>
          <c:order val="1"/>
          <c:tx>
            <c:strRef>
              <c:f>'AAA Summary'!$AI$1</c:f>
              <c:strCache>
                <c:ptCount val="1"/>
                <c:pt idx="0">
                  <c:v>%Open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val>
            <c:numRef>
              <c:f>'AAA Summary'!$AI$2:$AI$71</c:f>
              <c:numCache>
                <c:formatCode>0%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5.8823529411764705E-2</c:v>
                </c:pt>
                <c:pt idx="4">
                  <c:v>7.8947368421052627E-2</c:v>
                </c:pt>
                <c:pt idx="5">
                  <c:v>0.12195121951219512</c:v>
                </c:pt>
                <c:pt idx="6">
                  <c:v>0.16666666666666666</c:v>
                </c:pt>
                <c:pt idx="7">
                  <c:v>0.18518518518518517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0.20512820512820512</c:v>
                </c:pt>
                <c:pt idx="12">
                  <c:v>0.21311475409836064</c:v>
                </c:pt>
                <c:pt idx="13">
                  <c:v>0.22222222222222221</c:v>
                </c:pt>
                <c:pt idx="14">
                  <c:v>0.22222222222222221</c:v>
                </c:pt>
                <c:pt idx="15">
                  <c:v>0.22448979591836735</c:v>
                </c:pt>
                <c:pt idx="16">
                  <c:v>0.24193548387096775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0.27777777777777779</c:v>
                </c:pt>
                <c:pt idx="21">
                  <c:v>0.29411764705882354</c:v>
                </c:pt>
                <c:pt idx="22">
                  <c:v>0.3</c:v>
                </c:pt>
                <c:pt idx="23">
                  <c:v>0.33333333333333331</c:v>
                </c:pt>
                <c:pt idx="24">
                  <c:v>0.3392857142857143</c:v>
                </c:pt>
                <c:pt idx="25">
                  <c:v>0.34545454545454546</c:v>
                </c:pt>
                <c:pt idx="26">
                  <c:v>0.36</c:v>
                </c:pt>
                <c:pt idx="27">
                  <c:v>0.36363636363636365</c:v>
                </c:pt>
                <c:pt idx="28">
                  <c:v>0.375</c:v>
                </c:pt>
                <c:pt idx="29">
                  <c:v>0.3902439024390244</c:v>
                </c:pt>
                <c:pt idx="30">
                  <c:v>0.39130434782608697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0.41666666666666669</c:v>
                </c:pt>
                <c:pt idx="35">
                  <c:v>0.41666666666666669</c:v>
                </c:pt>
                <c:pt idx="36">
                  <c:v>0.42</c:v>
                </c:pt>
                <c:pt idx="37">
                  <c:v>0.42105263157894735</c:v>
                </c:pt>
                <c:pt idx="38">
                  <c:v>0.43478260869565216</c:v>
                </c:pt>
                <c:pt idx="39">
                  <c:v>0.43478260869565216</c:v>
                </c:pt>
                <c:pt idx="40">
                  <c:v>0.4358974358974359</c:v>
                </c:pt>
                <c:pt idx="41">
                  <c:v>0.44736842105263158</c:v>
                </c:pt>
                <c:pt idx="42">
                  <c:v>0.45454545454545453</c:v>
                </c:pt>
                <c:pt idx="43">
                  <c:v>0.45833333333333331</c:v>
                </c:pt>
                <c:pt idx="44">
                  <c:v>0.46153846153846156</c:v>
                </c:pt>
                <c:pt idx="45">
                  <c:v>0.46666666666666667</c:v>
                </c:pt>
                <c:pt idx="46">
                  <c:v>0.46666666666666667</c:v>
                </c:pt>
                <c:pt idx="47">
                  <c:v>0.5</c:v>
                </c:pt>
                <c:pt idx="48">
                  <c:v>0.5</c:v>
                </c:pt>
                <c:pt idx="49">
                  <c:v>0.5074626865671642</c:v>
                </c:pt>
                <c:pt idx="50">
                  <c:v>0.52380952380952384</c:v>
                </c:pt>
                <c:pt idx="51">
                  <c:v>0.52542372881355937</c:v>
                </c:pt>
                <c:pt idx="52">
                  <c:v>0.52941176470588236</c:v>
                </c:pt>
                <c:pt idx="53">
                  <c:v>0.54347826086956519</c:v>
                </c:pt>
                <c:pt idx="54">
                  <c:v>0.54666666666666663</c:v>
                </c:pt>
                <c:pt idx="55">
                  <c:v>0.56862745098039214</c:v>
                </c:pt>
                <c:pt idx="56">
                  <c:v>0.58333333333333337</c:v>
                </c:pt>
                <c:pt idx="57">
                  <c:v>0.58333333333333337</c:v>
                </c:pt>
                <c:pt idx="58">
                  <c:v>0.59259259259259256</c:v>
                </c:pt>
                <c:pt idx="59">
                  <c:v>0.6</c:v>
                </c:pt>
                <c:pt idx="60">
                  <c:v>0.62222222222222223</c:v>
                </c:pt>
                <c:pt idx="61">
                  <c:v>0.625</c:v>
                </c:pt>
                <c:pt idx="62">
                  <c:v>0.66666666666666663</c:v>
                </c:pt>
                <c:pt idx="63">
                  <c:v>0.73076923076923073</c:v>
                </c:pt>
                <c:pt idx="64">
                  <c:v>0.75</c:v>
                </c:pt>
                <c:pt idx="65">
                  <c:v>0.78787878787878785</c:v>
                </c:pt>
                <c:pt idx="66">
                  <c:v>0.83333333333333337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E-4078-9FBD-71A63982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186136"/>
        <c:axId val="606183840"/>
      </c:barChart>
      <c:scatterChart>
        <c:scatterStyle val="lineMarker"/>
        <c:varyColors val="0"/>
        <c:ser>
          <c:idx val="2"/>
          <c:order val="2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1"/>
            <c:val val="1"/>
            <c:spPr>
              <a:noFill/>
              <a:ln w="73025" cap="flat" cmpd="sng" algn="ctr">
                <a:solidFill>
                  <a:schemeClr val="tx1">
                    <a:lumMod val="65000"/>
                    <a:lumOff val="35000"/>
                    <a:alpha val="40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'AAA Summary'!$AD$2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'AAA Summary'!$AB$2</c:f>
              <c:numCache>
                <c:formatCode>General</c:formatCode>
                <c:ptCount val="1"/>
                <c:pt idx="0">
                  <c:v>0.58333333333333337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DE-4078-9FBD-71A63982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'Major Lower Limb Amputation'!$T$7</c:f>
              <c:strCache>
                <c:ptCount val="1"/>
                <c:pt idx="0">
                  <c:v>% Adjusted 30 day in-hospital mortality 2019-2021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'Major Lower Limb Amputation'!$D$8:$D$76</c:f>
              <c:numCache>
                <c:formatCode>0</c:formatCode>
                <c:ptCount val="69"/>
                <c:pt idx="0">
                  <c:v>124</c:v>
                </c:pt>
                <c:pt idx="1">
                  <c:v>95</c:v>
                </c:pt>
                <c:pt idx="2">
                  <c:v>167</c:v>
                </c:pt>
                <c:pt idx="3">
                  <c:v>122</c:v>
                </c:pt>
                <c:pt idx="4">
                  <c:v>342</c:v>
                </c:pt>
                <c:pt idx="5">
                  <c:v>204</c:v>
                </c:pt>
                <c:pt idx="6">
                  <c:v>98</c:v>
                </c:pt>
                <c:pt idx="7">
                  <c:v>192</c:v>
                </c:pt>
                <c:pt idx="8">
                  <c:v>182</c:v>
                </c:pt>
                <c:pt idx="9">
                  <c:v>226</c:v>
                </c:pt>
                <c:pt idx="10">
                  <c:v>45</c:v>
                </c:pt>
                <c:pt idx="11">
                  <c:v>41</c:v>
                </c:pt>
                <c:pt idx="12">
                  <c:v>95</c:v>
                </c:pt>
                <c:pt idx="13">
                  <c:v>99</c:v>
                </c:pt>
                <c:pt idx="14">
                  <c:v>93</c:v>
                </c:pt>
                <c:pt idx="15">
                  <c:v>150</c:v>
                </c:pt>
                <c:pt idx="16">
                  <c:v>106</c:v>
                </c:pt>
                <c:pt idx="17">
                  <c:v>174</c:v>
                </c:pt>
                <c:pt idx="18">
                  <c:v>231</c:v>
                </c:pt>
                <c:pt idx="19">
                  <c:v>123</c:v>
                </c:pt>
                <c:pt idx="20">
                  <c:v>29</c:v>
                </c:pt>
                <c:pt idx="21">
                  <c:v>233</c:v>
                </c:pt>
                <c:pt idx="22">
                  <c:v>216</c:v>
                </c:pt>
                <c:pt idx="23">
                  <c:v>206</c:v>
                </c:pt>
                <c:pt idx="24">
                  <c:v>73</c:v>
                </c:pt>
                <c:pt idx="25">
                  <c:v>107</c:v>
                </c:pt>
                <c:pt idx="26">
                  <c:v>22</c:v>
                </c:pt>
                <c:pt idx="27">
                  <c:v>188</c:v>
                </c:pt>
                <c:pt idx="28">
                  <c:v>306</c:v>
                </c:pt>
                <c:pt idx="29">
                  <c:v>36</c:v>
                </c:pt>
                <c:pt idx="30">
                  <c:v>17</c:v>
                </c:pt>
                <c:pt idx="31">
                  <c:v>7</c:v>
                </c:pt>
                <c:pt idx="32">
                  <c:v>95</c:v>
                </c:pt>
                <c:pt idx="33">
                  <c:v>264</c:v>
                </c:pt>
                <c:pt idx="34">
                  <c:v>11</c:v>
                </c:pt>
                <c:pt idx="35">
                  <c:v>44</c:v>
                </c:pt>
                <c:pt idx="36">
                  <c:v>229</c:v>
                </c:pt>
                <c:pt idx="37">
                  <c:v>185</c:v>
                </c:pt>
                <c:pt idx="38">
                  <c:v>111</c:v>
                </c:pt>
                <c:pt idx="39">
                  <c:v>96</c:v>
                </c:pt>
                <c:pt idx="40">
                  <c:v>206</c:v>
                </c:pt>
                <c:pt idx="41">
                  <c:v>221</c:v>
                </c:pt>
                <c:pt idx="42">
                  <c:v>109</c:v>
                </c:pt>
                <c:pt idx="43">
                  <c:v>14</c:v>
                </c:pt>
                <c:pt idx="44">
                  <c:v>115</c:v>
                </c:pt>
                <c:pt idx="45">
                  <c:v>113</c:v>
                </c:pt>
                <c:pt idx="46">
                  <c:v>116</c:v>
                </c:pt>
                <c:pt idx="47">
                  <c:v>50</c:v>
                </c:pt>
                <c:pt idx="48">
                  <c:v>115</c:v>
                </c:pt>
                <c:pt idx="49">
                  <c:v>67</c:v>
                </c:pt>
                <c:pt idx="50">
                  <c:v>198</c:v>
                </c:pt>
                <c:pt idx="51">
                  <c:v>258</c:v>
                </c:pt>
                <c:pt idx="52">
                  <c:v>112</c:v>
                </c:pt>
                <c:pt idx="53">
                  <c:v>306</c:v>
                </c:pt>
                <c:pt idx="54">
                  <c:v>181</c:v>
                </c:pt>
                <c:pt idx="55">
                  <c:v>#N/A</c:v>
                </c:pt>
                <c:pt idx="56">
                  <c:v>115</c:v>
                </c:pt>
                <c:pt idx="57">
                  <c:v>250</c:v>
                </c:pt>
                <c:pt idx="58">
                  <c:v>202</c:v>
                </c:pt>
                <c:pt idx="59">
                  <c:v>292</c:v>
                </c:pt>
                <c:pt idx="60">
                  <c:v>298</c:v>
                </c:pt>
                <c:pt idx="61">
                  <c:v>99</c:v>
                </c:pt>
                <c:pt idx="62">
                  <c:v>88</c:v>
                </c:pt>
                <c:pt idx="63">
                  <c:v>105</c:v>
                </c:pt>
                <c:pt idx="64">
                  <c:v>141</c:v>
                </c:pt>
                <c:pt idx="65">
                  <c:v>68</c:v>
                </c:pt>
                <c:pt idx="66">
                  <c:v>23</c:v>
                </c:pt>
                <c:pt idx="67">
                  <c:v>120</c:v>
                </c:pt>
                <c:pt idx="68">
                  <c:v>106</c:v>
                </c:pt>
              </c:numCache>
            </c:numRef>
          </c:xVal>
          <c:yVal>
            <c:numRef>
              <c:f>'Major Lower Limb Amputation'!$T$8:$T$76</c:f>
              <c:numCache>
                <c:formatCode>0.0%</c:formatCode>
                <c:ptCount val="69"/>
                <c:pt idx="0">
                  <c:v>5.2999999999999999E-2</c:v>
                </c:pt>
                <c:pt idx="1">
                  <c:v>9.5000000000000001E-2</c:v>
                </c:pt>
                <c:pt idx="2">
                  <c:v>9.4E-2</c:v>
                </c:pt>
                <c:pt idx="3">
                  <c:v>5.6000000000000001E-2</c:v>
                </c:pt>
                <c:pt idx="4">
                  <c:v>4.4999999999999998E-2</c:v>
                </c:pt>
                <c:pt idx="5">
                  <c:v>8.5999999999999993E-2</c:v>
                </c:pt>
                <c:pt idx="6">
                  <c:v>3.7999999999999999E-2</c:v>
                </c:pt>
                <c:pt idx="7">
                  <c:v>7.9000000000000001E-2</c:v>
                </c:pt>
                <c:pt idx="8">
                  <c:v>6.7000000000000004E-2</c:v>
                </c:pt>
                <c:pt idx="9">
                  <c:v>7.0000000000000007E-2</c:v>
                </c:pt>
                <c:pt idx="10">
                  <c:v>0.09</c:v>
                </c:pt>
                <c:pt idx="11">
                  <c:v>5.8999999999999997E-2</c:v>
                </c:pt>
                <c:pt idx="12">
                  <c:v>6.2E-2</c:v>
                </c:pt>
                <c:pt idx="13">
                  <c:v>5.5E-2</c:v>
                </c:pt>
                <c:pt idx="14">
                  <c:v>6.2E-2</c:v>
                </c:pt>
                <c:pt idx="15">
                  <c:v>3.9E-2</c:v>
                </c:pt>
                <c:pt idx="16">
                  <c:v>5.0999999999999997E-2</c:v>
                </c:pt>
                <c:pt idx="17">
                  <c:v>0.11799999999999999</c:v>
                </c:pt>
                <c:pt idx="18">
                  <c:v>9.2999999999999999E-2</c:v>
                </c:pt>
                <c:pt idx="19">
                  <c:v>0.128</c:v>
                </c:pt>
                <c:pt idx="20">
                  <c:v>9.0999999999999998E-2</c:v>
                </c:pt>
                <c:pt idx="21">
                  <c:v>6.7000000000000004E-2</c:v>
                </c:pt>
                <c:pt idx="22">
                  <c:v>8.4000000000000005E-2</c:v>
                </c:pt>
                <c:pt idx="23">
                  <c:v>7.8E-2</c:v>
                </c:pt>
                <c:pt idx="24">
                  <c:v>6.6000000000000003E-2</c:v>
                </c:pt>
                <c:pt idx="25">
                  <c:v>0.08</c:v>
                </c:pt>
                <c:pt idx="26">
                  <c:v>5.7000000000000002E-2</c:v>
                </c:pt>
                <c:pt idx="27">
                  <c:v>0.1</c:v>
                </c:pt>
                <c:pt idx="28">
                  <c:v>6.4000000000000001E-2</c:v>
                </c:pt>
                <c:pt idx="29">
                  <c:v>0.14299999999999999</c:v>
                </c:pt>
                <c:pt idx="30">
                  <c:v>9.7000000000000003E-2</c:v>
                </c:pt>
                <c:pt idx="31">
                  <c:v>0.14599999999999999</c:v>
                </c:pt>
                <c:pt idx="32">
                  <c:v>8.7999999999999995E-2</c:v>
                </c:pt>
                <c:pt idx="33">
                  <c:v>6.5000000000000002E-2</c:v>
                </c:pt>
                <c:pt idx="34">
                  <c:v>0</c:v>
                </c:pt>
                <c:pt idx="35">
                  <c:v>3.7999999999999999E-2</c:v>
                </c:pt>
                <c:pt idx="36">
                  <c:v>3.9E-2</c:v>
                </c:pt>
                <c:pt idx="37">
                  <c:v>2.8000000000000001E-2</c:v>
                </c:pt>
                <c:pt idx="38">
                  <c:v>9.2999999999999999E-2</c:v>
                </c:pt>
                <c:pt idx="39">
                  <c:v>0.01</c:v>
                </c:pt>
                <c:pt idx="40">
                  <c:v>0.10299999999999999</c:v>
                </c:pt>
                <c:pt idx="41">
                  <c:v>8.5000000000000006E-2</c:v>
                </c:pt>
                <c:pt idx="42">
                  <c:v>0.06</c:v>
                </c:pt>
                <c:pt idx="43">
                  <c:v>0.24199999999999999</c:v>
                </c:pt>
                <c:pt idx="44">
                  <c:v>3.4000000000000002E-2</c:v>
                </c:pt>
                <c:pt idx="45">
                  <c:v>5.0999999999999997E-2</c:v>
                </c:pt>
                <c:pt idx="46">
                  <c:v>0.08</c:v>
                </c:pt>
                <c:pt idx="47">
                  <c:v>2.5000000000000001E-2</c:v>
                </c:pt>
                <c:pt idx="48">
                  <c:v>5.1999999999999998E-2</c:v>
                </c:pt>
                <c:pt idx="49">
                  <c:v>5.7000000000000002E-2</c:v>
                </c:pt>
                <c:pt idx="50">
                  <c:v>2.3E-2</c:v>
                </c:pt>
                <c:pt idx="51">
                  <c:v>0.05</c:v>
                </c:pt>
                <c:pt idx="52">
                  <c:v>5.5E-2</c:v>
                </c:pt>
                <c:pt idx="53">
                  <c:v>7.0999999999999994E-2</c:v>
                </c:pt>
                <c:pt idx="54">
                  <c:v>9.8000000000000004E-2</c:v>
                </c:pt>
                <c:pt idx="55">
                  <c:v>0</c:v>
                </c:pt>
                <c:pt idx="56">
                  <c:v>0.06</c:v>
                </c:pt>
                <c:pt idx="57">
                  <c:v>8.4000000000000005E-2</c:v>
                </c:pt>
                <c:pt idx="58">
                  <c:v>4.9000000000000002E-2</c:v>
                </c:pt>
                <c:pt idx="59">
                  <c:v>0.03</c:v>
                </c:pt>
                <c:pt idx="60">
                  <c:v>6.9000000000000006E-2</c:v>
                </c:pt>
                <c:pt idx="61">
                  <c:v>0.11799999999999999</c:v>
                </c:pt>
                <c:pt idx="62">
                  <c:v>3.1E-2</c:v>
                </c:pt>
                <c:pt idx="63">
                  <c:v>5.7000000000000002E-2</c:v>
                </c:pt>
                <c:pt idx="64">
                  <c:v>5.5E-2</c:v>
                </c:pt>
                <c:pt idx="65">
                  <c:v>2.7E-2</c:v>
                </c:pt>
                <c:pt idx="66">
                  <c:v>6.8000000000000005E-2</c:v>
                </c:pt>
                <c:pt idx="67">
                  <c:v>6.7000000000000004E-2</c:v>
                </c:pt>
                <c:pt idx="68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1-4474-9717-5A498CE732C2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'Amp Funnel'!$B$2:$B$61</c:f>
              <c:numCache>
                <c:formatCode>0</c:formatCode>
                <c:ptCount val="60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43</c:v>
                </c:pt>
                <c:pt idx="10">
                  <c:v>50</c:v>
                </c:pt>
                <c:pt idx="11">
                  <c:v>67</c:v>
                </c:pt>
                <c:pt idx="12">
                  <c:v>68</c:v>
                </c:pt>
                <c:pt idx="13">
                  <c:v>88</c:v>
                </c:pt>
                <c:pt idx="14">
                  <c:v>91</c:v>
                </c:pt>
                <c:pt idx="15">
                  <c:v>94</c:v>
                </c:pt>
                <c:pt idx="16">
                  <c:v>95</c:v>
                </c:pt>
                <c:pt idx="17">
                  <c:v>96</c:v>
                </c:pt>
                <c:pt idx="18">
                  <c:v>98</c:v>
                </c:pt>
                <c:pt idx="19">
                  <c:v>99</c:v>
                </c:pt>
                <c:pt idx="20">
                  <c:v>102</c:v>
                </c:pt>
                <c:pt idx="21">
                  <c:v>104</c:v>
                </c:pt>
                <c:pt idx="22">
                  <c:v>105</c:v>
                </c:pt>
                <c:pt idx="23">
                  <c:v>107</c:v>
                </c:pt>
                <c:pt idx="24">
                  <c:v>108</c:v>
                </c:pt>
                <c:pt idx="25">
                  <c:v>110</c:v>
                </c:pt>
                <c:pt idx="26">
                  <c:v>111</c:v>
                </c:pt>
                <c:pt idx="27">
                  <c:v>112</c:v>
                </c:pt>
                <c:pt idx="28">
                  <c:v>113</c:v>
                </c:pt>
                <c:pt idx="29">
                  <c:v>114</c:v>
                </c:pt>
                <c:pt idx="30">
                  <c:v>115</c:v>
                </c:pt>
                <c:pt idx="31">
                  <c:v>119</c:v>
                </c:pt>
                <c:pt idx="32">
                  <c:v>121</c:v>
                </c:pt>
                <c:pt idx="33">
                  <c:v>141</c:v>
                </c:pt>
                <c:pt idx="34">
                  <c:v>147</c:v>
                </c:pt>
                <c:pt idx="35">
                  <c:v>162</c:v>
                </c:pt>
                <c:pt idx="36">
                  <c:v>174</c:v>
                </c:pt>
                <c:pt idx="37">
                  <c:v>178</c:v>
                </c:pt>
                <c:pt idx="38">
                  <c:v>181</c:v>
                </c:pt>
                <c:pt idx="39">
                  <c:v>182</c:v>
                </c:pt>
                <c:pt idx="40">
                  <c:v>187</c:v>
                </c:pt>
                <c:pt idx="41">
                  <c:v>192</c:v>
                </c:pt>
                <c:pt idx="42">
                  <c:v>193</c:v>
                </c:pt>
                <c:pt idx="43">
                  <c:v>198</c:v>
                </c:pt>
                <c:pt idx="44">
                  <c:v>199</c:v>
                </c:pt>
                <c:pt idx="45">
                  <c:v>204</c:v>
                </c:pt>
                <c:pt idx="46">
                  <c:v>206</c:v>
                </c:pt>
                <c:pt idx="47">
                  <c:v>214</c:v>
                </c:pt>
                <c:pt idx="48">
                  <c:v>215</c:v>
                </c:pt>
                <c:pt idx="49">
                  <c:v>218</c:v>
                </c:pt>
                <c:pt idx="50">
                  <c:v>222</c:v>
                </c:pt>
                <c:pt idx="51">
                  <c:v>228</c:v>
                </c:pt>
                <c:pt idx="52">
                  <c:v>231</c:v>
                </c:pt>
                <c:pt idx="53">
                  <c:v>241</c:v>
                </c:pt>
                <c:pt idx="54">
                  <c:v>257</c:v>
                </c:pt>
                <c:pt idx="55">
                  <c:v>261</c:v>
                </c:pt>
                <c:pt idx="56">
                  <c:v>289</c:v>
                </c:pt>
                <c:pt idx="57">
                  <c:v>302</c:v>
                </c:pt>
                <c:pt idx="58">
                  <c:v>330</c:v>
                </c:pt>
                <c:pt idx="59">
                  <c:v>350</c:v>
                </c:pt>
              </c:numCache>
            </c:numRef>
          </c:xVal>
          <c:yVal>
            <c:numRef>
              <c:f>'Amp Funnel'!$D$2:$D$61</c:f>
              <c:numCache>
                <c:formatCode>0.0%</c:formatCode>
                <c:ptCount val="60"/>
                <c:pt idx="0">
                  <c:v>6.6000000000000003E-2</c:v>
                </c:pt>
                <c:pt idx="1">
                  <c:v>6.6000000000000003E-2</c:v>
                </c:pt>
                <c:pt idx="2">
                  <c:v>6.6000000000000003E-2</c:v>
                </c:pt>
                <c:pt idx="3">
                  <c:v>6.6000000000000003E-2</c:v>
                </c:pt>
                <c:pt idx="4">
                  <c:v>6.6000000000000003E-2</c:v>
                </c:pt>
                <c:pt idx="5">
                  <c:v>6.6000000000000003E-2</c:v>
                </c:pt>
                <c:pt idx="6">
                  <c:v>6.6000000000000003E-2</c:v>
                </c:pt>
                <c:pt idx="7">
                  <c:v>6.6000000000000003E-2</c:v>
                </c:pt>
                <c:pt idx="8">
                  <c:v>6.6000000000000003E-2</c:v>
                </c:pt>
                <c:pt idx="9">
                  <c:v>6.6000000000000003E-2</c:v>
                </c:pt>
                <c:pt idx="10">
                  <c:v>6.6000000000000003E-2</c:v>
                </c:pt>
                <c:pt idx="11">
                  <c:v>6.6000000000000003E-2</c:v>
                </c:pt>
                <c:pt idx="12">
                  <c:v>6.6000000000000003E-2</c:v>
                </c:pt>
                <c:pt idx="13">
                  <c:v>6.6000000000000003E-2</c:v>
                </c:pt>
                <c:pt idx="14">
                  <c:v>6.6000000000000003E-2</c:v>
                </c:pt>
                <c:pt idx="15">
                  <c:v>6.6000000000000003E-2</c:v>
                </c:pt>
                <c:pt idx="16">
                  <c:v>6.6000000000000003E-2</c:v>
                </c:pt>
                <c:pt idx="17">
                  <c:v>6.6000000000000003E-2</c:v>
                </c:pt>
                <c:pt idx="18">
                  <c:v>6.6000000000000003E-2</c:v>
                </c:pt>
                <c:pt idx="19">
                  <c:v>6.6000000000000003E-2</c:v>
                </c:pt>
                <c:pt idx="20">
                  <c:v>6.6000000000000003E-2</c:v>
                </c:pt>
                <c:pt idx="21">
                  <c:v>6.6000000000000003E-2</c:v>
                </c:pt>
                <c:pt idx="22">
                  <c:v>6.6000000000000003E-2</c:v>
                </c:pt>
                <c:pt idx="23">
                  <c:v>6.6000000000000003E-2</c:v>
                </c:pt>
                <c:pt idx="24">
                  <c:v>6.6000000000000003E-2</c:v>
                </c:pt>
                <c:pt idx="25">
                  <c:v>6.6000000000000003E-2</c:v>
                </c:pt>
                <c:pt idx="26">
                  <c:v>6.6000000000000003E-2</c:v>
                </c:pt>
                <c:pt idx="27">
                  <c:v>6.6000000000000003E-2</c:v>
                </c:pt>
                <c:pt idx="28">
                  <c:v>6.6000000000000003E-2</c:v>
                </c:pt>
                <c:pt idx="29">
                  <c:v>6.6000000000000003E-2</c:v>
                </c:pt>
                <c:pt idx="30">
                  <c:v>6.6000000000000003E-2</c:v>
                </c:pt>
                <c:pt idx="31">
                  <c:v>6.6000000000000003E-2</c:v>
                </c:pt>
                <c:pt idx="32">
                  <c:v>6.6000000000000003E-2</c:v>
                </c:pt>
                <c:pt idx="33">
                  <c:v>6.6000000000000003E-2</c:v>
                </c:pt>
                <c:pt idx="34">
                  <c:v>6.6000000000000003E-2</c:v>
                </c:pt>
                <c:pt idx="35">
                  <c:v>6.6000000000000003E-2</c:v>
                </c:pt>
                <c:pt idx="36">
                  <c:v>6.6000000000000003E-2</c:v>
                </c:pt>
                <c:pt idx="37">
                  <c:v>6.6000000000000003E-2</c:v>
                </c:pt>
                <c:pt idx="38">
                  <c:v>6.6000000000000003E-2</c:v>
                </c:pt>
                <c:pt idx="39">
                  <c:v>6.6000000000000003E-2</c:v>
                </c:pt>
                <c:pt idx="40">
                  <c:v>6.6000000000000003E-2</c:v>
                </c:pt>
                <c:pt idx="41">
                  <c:v>6.6000000000000003E-2</c:v>
                </c:pt>
                <c:pt idx="42">
                  <c:v>6.6000000000000003E-2</c:v>
                </c:pt>
                <c:pt idx="43">
                  <c:v>6.6000000000000003E-2</c:v>
                </c:pt>
                <c:pt idx="44">
                  <c:v>6.6000000000000003E-2</c:v>
                </c:pt>
                <c:pt idx="45">
                  <c:v>6.6000000000000003E-2</c:v>
                </c:pt>
                <c:pt idx="46">
                  <c:v>6.6000000000000003E-2</c:v>
                </c:pt>
                <c:pt idx="47">
                  <c:v>6.6000000000000003E-2</c:v>
                </c:pt>
                <c:pt idx="48">
                  <c:v>6.6000000000000003E-2</c:v>
                </c:pt>
                <c:pt idx="49">
                  <c:v>6.6000000000000003E-2</c:v>
                </c:pt>
                <c:pt idx="50">
                  <c:v>6.6000000000000003E-2</c:v>
                </c:pt>
                <c:pt idx="51">
                  <c:v>6.6000000000000003E-2</c:v>
                </c:pt>
                <c:pt idx="52">
                  <c:v>6.6000000000000003E-2</c:v>
                </c:pt>
                <c:pt idx="53">
                  <c:v>6.6000000000000003E-2</c:v>
                </c:pt>
                <c:pt idx="54">
                  <c:v>6.6000000000000003E-2</c:v>
                </c:pt>
                <c:pt idx="55">
                  <c:v>6.6000000000000003E-2</c:v>
                </c:pt>
                <c:pt idx="56">
                  <c:v>6.6000000000000003E-2</c:v>
                </c:pt>
                <c:pt idx="57">
                  <c:v>6.6000000000000003E-2</c:v>
                </c:pt>
                <c:pt idx="58">
                  <c:v>6.6000000000000003E-2</c:v>
                </c:pt>
                <c:pt idx="59">
                  <c:v>6.6000000000000003E-2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2-4B75-AF85-49F97078E3D4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'Amp Funnel'!$B$2:$B$61</c:f>
              <c:numCache>
                <c:formatCode>0</c:formatCode>
                <c:ptCount val="60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43</c:v>
                </c:pt>
                <c:pt idx="10">
                  <c:v>50</c:v>
                </c:pt>
                <c:pt idx="11">
                  <c:v>67</c:v>
                </c:pt>
                <c:pt idx="12">
                  <c:v>68</c:v>
                </c:pt>
                <c:pt idx="13">
                  <c:v>88</c:v>
                </c:pt>
                <c:pt idx="14">
                  <c:v>91</c:v>
                </c:pt>
                <c:pt idx="15">
                  <c:v>94</c:v>
                </c:pt>
                <c:pt idx="16">
                  <c:v>95</c:v>
                </c:pt>
                <c:pt idx="17">
                  <c:v>96</c:v>
                </c:pt>
                <c:pt idx="18">
                  <c:v>98</c:v>
                </c:pt>
                <c:pt idx="19">
                  <c:v>99</c:v>
                </c:pt>
                <c:pt idx="20">
                  <c:v>102</c:v>
                </c:pt>
                <c:pt idx="21">
                  <c:v>104</c:v>
                </c:pt>
                <c:pt idx="22">
                  <c:v>105</c:v>
                </c:pt>
                <c:pt idx="23">
                  <c:v>107</c:v>
                </c:pt>
                <c:pt idx="24">
                  <c:v>108</c:v>
                </c:pt>
                <c:pt idx="25">
                  <c:v>110</c:v>
                </c:pt>
                <c:pt idx="26">
                  <c:v>111</c:v>
                </c:pt>
                <c:pt idx="27">
                  <c:v>112</c:v>
                </c:pt>
                <c:pt idx="28">
                  <c:v>113</c:v>
                </c:pt>
                <c:pt idx="29">
                  <c:v>114</c:v>
                </c:pt>
                <c:pt idx="30">
                  <c:v>115</c:v>
                </c:pt>
                <c:pt idx="31">
                  <c:v>119</c:v>
                </c:pt>
                <c:pt idx="32">
                  <c:v>121</c:v>
                </c:pt>
                <c:pt idx="33">
                  <c:v>141</c:v>
                </c:pt>
                <c:pt idx="34">
                  <c:v>147</c:v>
                </c:pt>
                <c:pt idx="35">
                  <c:v>162</c:v>
                </c:pt>
                <c:pt idx="36">
                  <c:v>174</c:v>
                </c:pt>
                <c:pt idx="37">
                  <c:v>178</c:v>
                </c:pt>
                <c:pt idx="38">
                  <c:v>181</c:v>
                </c:pt>
                <c:pt idx="39">
                  <c:v>182</c:v>
                </c:pt>
                <c:pt idx="40">
                  <c:v>187</c:v>
                </c:pt>
                <c:pt idx="41">
                  <c:v>192</c:v>
                </c:pt>
                <c:pt idx="42">
                  <c:v>193</c:v>
                </c:pt>
                <c:pt idx="43">
                  <c:v>198</c:v>
                </c:pt>
                <c:pt idx="44">
                  <c:v>199</c:v>
                </c:pt>
                <c:pt idx="45">
                  <c:v>204</c:v>
                </c:pt>
                <c:pt idx="46">
                  <c:v>206</c:v>
                </c:pt>
                <c:pt idx="47">
                  <c:v>214</c:v>
                </c:pt>
                <c:pt idx="48">
                  <c:v>215</c:v>
                </c:pt>
                <c:pt idx="49">
                  <c:v>218</c:v>
                </c:pt>
                <c:pt idx="50">
                  <c:v>222</c:v>
                </c:pt>
                <c:pt idx="51">
                  <c:v>228</c:v>
                </c:pt>
                <c:pt idx="52">
                  <c:v>231</c:v>
                </c:pt>
                <c:pt idx="53">
                  <c:v>241</c:v>
                </c:pt>
                <c:pt idx="54">
                  <c:v>257</c:v>
                </c:pt>
                <c:pt idx="55">
                  <c:v>261</c:v>
                </c:pt>
                <c:pt idx="56">
                  <c:v>289</c:v>
                </c:pt>
                <c:pt idx="57">
                  <c:v>302</c:v>
                </c:pt>
                <c:pt idx="58">
                  <c:v>330</c:v>
                </c:pt>
                <c:pt idx="59">
                  <c:v>350</c:v>
                </c:pt>
              </c:numCache>
            </c:numRef>
          </c:xVal>
          <c:yVal>
            <c:numRef>
              <c:f>'Amp Funnel'!$C$2:$C$61</c:f>
              <c:numCache>
                <c:formatCode>0.0%</c:formatCode>
                <c:ptCount val="60"/>
                <c:pt idx="0">
                  <c:v>0.6</c:v>
                </c:pt>
                <c:pt idx="1">
                  <c:v>0.5</c:v>
                </c:pt>
                <c:pt idx="2">
                  <c:v>0.45</c:v>
                </c:pt>
                <c:pt idx="3">
                  <c:v>0.4</c:v>
                </c:pt>
                <c:pt idx="4">
                  <c:v>0.35</c:v>
                </c:pt>
                <c:pt idx="5">
                  <c:v>0.3</c:v>
                </c:pt>
                <c:pt idx="6">
                  <c:v>0.27100000000000002</c:v>
                </c:pt>
                <c:pt idx="7">
                  <c:v>0.24399999999999999</c:v>
                </c:pt>
                <c:pt idx="8">
                  <c:v>0.22500000000000001</c:v>
                </c:pt>
                <c:pt idx="9">
                  <c:v>0.222</c:v>
                </c:pt>
                <c:pt idx="10">
                  <c:v>0.20799999999999999</c:v>
                </c:pt>
                <c:pt idx="11">
                  <c:v>0.185</c:v>
                </c:pt>
                <c:pt idx="12">
                  <c:v>0.184</c:v>
                </c:pt>
                <c:pt idx="13">
                  <c:v>0.16700000000000001</c:v>
                </c:pt>
                <c:pt idx="14">
                  <c:v>0.16400000000000001</c:v>
                </c:pt>
                <c:pt idx="15">
                  <c:v>0.16300000000000001</c:v>
                </c:pt>
                <c:pt idx="16">
                  <c:v>0.16300000000000001</c:v>
                </c:pt>
                <c:pt idx="17">
                  <c:v>0.16200000000000001</c:v>
                </c:pt>
                <c:pt idx="18">
                  <c:v>0.161</c:v>
                </c:pt>
                <c:pt idx="19">
                  <c:v>0.16</c:v>
                </c:pt>
                <c:pt idx="20">
                  <c:v>0.158</c:v>
                </c:pt>
                <c:pt idx="21">
                  <c:v>0.158</c:v>
                </c:pt>
                <c:pt idx="22">
                  <c:v>0.157</c:v>
                </c:pt>
                <c:pt idx="23">
                  <c:v>0.156</c:v>
                </c:pt>
                <c:pt idx="24">
                  <c:v>0.156</c:v>
                </c:pt>
                <c:pt idx="25">
                  <c:v>0.154</c:v>
                </c:pt>
                <c:pt idx="26">
                  <c:v>0.153</c:v>
                </c:pt>
                <c:pt idx="27">
                  <c:v>0.153</c:v>
                </c:pt>
                <c:pt idx="28">
                  <c:v>0.153</c:v>
                </c:pt>
                <c:pt idx="29">
                  <c:v>0.153</c:v>
                </c:pt>
                <c:pt idx="30">
                  <c:v>0.153</c:v>
                </c:pt>
                <c:pt idx="31">
                  <c:v>0.15</c:v>
                </c:pt>
                <c:pt idx="32">
                  <c:v>0.14899999999999999</c:v>
                </c:pt>
                <c:pt idx="33">
                  <c:v>0.14199999999999999</c:v>
                </c:pt>
                <c:pt idx="34">
                  <c:v>0.14099999999999999</c:v>
                </c:pt>
                <c:pt idx="35">
                  <c:v>0.13700000000000001</c:v>
                </c:pt>
                <c:pt idx="36">
                  <c:v>0.13400000000000001</c:v>
                </c:pt>
                <c:pt idx="37">
                  <c:v>0.13300000000000001</c:v>
                </c:pt>
                <c:pt idx="38">
                  <c:v>0.13200000000000001</c:v>
                </c:pt>
                <c:pt idx="39">
                  <c:v>0.13200000000000001</c:v>
                </c:pt>
                <c:pt idx="40">
                  <c:v>0.13100000000000001</c:v>
                </c:pt>
                <c:pt idx="41">
                  <c:v>0.13</c:v>
                </c:pt>
                <c:pt idx="42">
                  <c:v>0.13</c:v>
                </c:pt>
                <c:pt idx="43">
                  <c:v>0.129</c:v>
                </c:pt>
                <c:pt idx="44">
                  <c:v>0.129</c:v>
                </c:pt>
                <c:pt idx="45">
                  <c:v>0.128</c:v>
                </c:pt>
                <c:pt idx="46">
                  <c:v>0.128</c:v>
                </c:pt>
                <c:pt idx="47">
                  <c:v>0.126</c:v>
                </c:pt>
                <c:pt idx="48">
                  <c:v>0.126</c:v>
                </c:pt>
                <c:pt idx="49">
                  <c:v>0.126</c:v>
                </c:pt>
                <c:pt idx="50">
                  <c:v>0.125</c:v>
                </c:pt>
                <c:pt idx="51">
                  <c:v>0.125</c:v>
                </c:pt>
                <c:pt idx="52">
                  <c:v>0.124</c:v>
                </c:pt>
                <c:pt idx="53">
                  <c:v>0.123</c:v>
                </c:pt>
                <c:pt idx="54">
                  <c:v>0.12</c:v>
                </c:pt>
                <c:pt idx="55">
                  <c:v>0.12</c:v>
                </c:pt>
                <c:pt idx="56">
                  <c:v>0.11700000000000001</c:v>
                </c:pt>
                <c:pt idx="57">
                  <c:v>0.11600000000000001</c:v>
                </c:pt>
                <c:pt idx="58">
                  <c:v>0.114</c:v>
                </c:pt>
                <c:pt idx="59">
                  <c:v>0.112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12-4B75-AF85-49F97078E3D4}"/>
            </c:ext>
          </c:extLst>
        </c:ser>
        <c:ser>
          <c:idx val="3"/>
          <c:order val="3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1270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08D-48B7-B7A4-FDB4EBEF9E33}"/>
              </c:ext>
            </c:extLst>
          </c:dPt>
          <c:xVal>
            <c:numRef>
              <c:f>'Amputation Summary'!$AA$9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'Amputation Summary'!$J$29</c:f>
              <c:numCache>
                <c:formatCode>0.0%</c:formatCode>
                <c:ptCount val="1"/>
                <c:pt idx="0">
                  <c:v>5.2999999999999999E-2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12-4B75-AF85-49F97078E3D4}"/>
            </c:ext>
          </c:extLst>
        </c:ser>
        <c:ser>
          <c:idx val="4"/>
          <c:order val="4"/>
          <c:tx>
            <c:v>Lower Funnel Limit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19050">
                <a:noFill/>
                <a:prstDash val="dash"/>
              </a:ln>
              <a:effectLst/>
            </c:spPr>
          </c:marker>
          <c:xVal>
            <c:numRef>
              <c:f>'Amp Funnel'!$B$2:$B$61</c:f>
              <c:numCache>
                <c:formatCode>0</c:formatCode>
                <c:ptCount val="60"/>
                <c:pt idx="0">
                  <c:v>0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17</c:v>
                </c:pt>
                <c:pt idx="5">
                  <c:v>22</c:v>
                </c:pt>
                <c:pt idx="6">
                  <c:v>28</c:v>
                </c:pt>
                <c:pt idx="7">
                  <c:v>35</c:v>
                </c:pt>
                <c:pt idx="8">
                  <c:v>40</c:v>
                </c:pt>
                <c:pt idx="9">
                  <c:v>43</c:v>
                </c:pt>
                <c:pt idx="10">
                  <c:v>50</c:v>
                </c:pt>
                <c:pt idx="11">
                  <c:v>67</c:v>
                </c:pt>
                <c:pt idx="12">
                  <c:v>68</c:v>
                </c:pt>
                <c:pt idx="13">
                  <c:v>88</c:v>
                </c:pt>
                <c:pt idx="14">
                  <c:v>91</c:v>
                </c:pt>
                <c:pt idx="15">
                  <c:v>94</c:v>
                </c:pt>
                <c:pt idx="16">
                  <c:v>95</c:v>
                </c:pt>
                <c:pt idx="17">
                  <c:v>96</c:v>
                </c:pt>
                <c:pt idx="18">
                  <c:v>98</c:v>
                </c:pt>
                <c:pt idx="19">
                  <c:v>99</c:v>
                </c:pt>
                <c:pt idx="20">
                  <c:v>102</c:v>
                </c:pt>
                <c:pt idx="21">
                  <c:v>104</c:v>
                </c:pt>
                <c:pt idx="22">
                  <c:v>105</c:v>
                </c:pt>
                <c:pt idx="23">
                  <c:v>107</c:v>
                </c:pt>
                <c:pt idx="24">
                  <c:v>108</c:v>
                </c:pt>
                <c:pt idx="25">
                  <c:v>110</c:v>
                </c:pt>
                <c:pt idx="26">
                  <c:v>111</c:v>
                </c:pt>
                <c:pt idx="27">
                  <c:v>112</c:v>
                </c:pt>
                <c:pt idx="28">
                  <c:v>113</c:v>
                </c:pt>
                <c:pt idx="29">
                  <c:v>114</c:v>
                </c:pt>
                <c:pt idx="30">
                  <c:v>115</c:v>
                </c:pt>
                <c:pt idx="31">
                  <c:v>119</c:v>
                </c:pt>
                <c:pt idx="32">
                  <c:v>121</c:v>
                </c:pt>
                <c:pt idx="33">
                  <c:v>141</c:v>
                </c:pt>
                <c:pt idx="34">
                  <c:v>147</c:v>
                </c:pt>
                <c:pt idx="35">
                  <c:v>162</c:v>
                </c:pt>
                <c:pt idx="36">
                  <c:v>174</c:v>
                </c:pt>
                <c:pt idx="37">
                  <c:v>178</c:v>
                </c:pt>
                <c:pt idx="38">
                  <c:v>181</c:v>
                </c:pt>
                <c:pt idx="39">
                  <c:v>182</c:v>
                </c:pt>
                <c:pt idx="40">
                  <c:v>187</c:v>
                </c:pt>
                <c:pt idx="41">
                  <c:v>192</c:v>
                </c:pt>
                <c:pt idx="42">
                  <c:v>193</c:v>
                </c:pt>
                <c:pt idx="43">
                  <c:v>198</c:v>
                </c:pt>
                <c:pt idx="44">
                  <c:v>199</c:v>
                </c:pt>
                <c:pt idx="45">
                  <c:v>204</c:v>
                </c:pt>
                <c:pt idx="46">
                  <c:v>206</c:v>
                </c:pt>
                <c:pt idx="47">
                  <c:v>214</c:v>
                </c:pt>
                <c:pt idx="48">
                  <c:v>215</c:v>
                </c:pt>
                <c:pt idx="49">
                  <c:v>218</c:v>
                </c:pt>
                <c:pt idx="50">
                  <c:v>222</c:v>
                </c:pt>
                <c:pt idx="51">
                  <c:v>228</c:v>
                </c:pt>
                <c:pt idx="52">
                  <c:v>231</c:v>
                </c:pt>
                <c:pt idx="53">
                  <c:v>241</c:v>
                </c:pt>
                <c:pt idx="54">
                  <c:v>257</c:v>
                </c:pt>
                <c:pt idx="55">
                  <c:v>261</c:v>
                </c:pt>
                <c:pt idx="56">
                  <c:v>289</c:v>
                </c:pt>
                <c:pt idx="57">
                  <c:v>302</c:v>
                </c:pt>
                <c:pt idx="58">
                  <c:v>330</c:v>
                </c:pt>
                <c:pt idx="59">
                  <c:v>350</c:v>
                </c:pt>
              </c:numCache>
            </c:numRef>
          </c:xVal>
          <c:yVal>
            <c:numRef>
              <c:f>'Amp Funnel'!$E$2:$E$61</c:f>
              <c:numCache>
                <c:formatCode>0.0%</c:formatCode>
                <c:ptCount val="60"/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1E-3</c:v>
                </c:pt>
                <c:pt idx="29">
                  <c:v>2E-3</c:v>
                </c:pt>
                <c:pt idx="30">
                  <c:v>2E-3</c:v>
                </c:pt>
                <c:pt idx="31">
                  <c:v>2E-3</c:v>
                </c:pt>
                <c:pt idx="32">
                  <c:v>3.0000000000000001E-3</c:v>
                </c:pt>
                <c:pt idx="33">
                  <c:v>8.0000000000000002E-3</c:v>
                </c:pt>
                <c:pt idx="34">
                  <c:v>8.0000000000000002E-3</c:v>
                </c:pt>
                <c:pt idx="35">
                  <c:v>1.0999999999999999E-2</c:v>
                </c:pt>
                <c:pt idx="36">
                  <c:v>1.2999999999999999E-2</c:v>
                </c:pt>
                <c:pt idx="37">
                  <c:v>1.2999999999999999E-2</c:v>
                </c:pt>
                <c:pt idx="38">
                  <c:v>1.2999999999999999E-2</c:v>
                </c:pt>
                <c:pt idx="39">
                  <c:v>1.4E-2</c:v>
                </c:pt>
                <c:pt idx="40">
                  <c:v>1.4E-2</c:v>
                </c:pt>
                <c:pt idx="41">
                  <c:v>1.6E-2</c:v>
                </c:pt>
                <c:pt idx="42">
                  <c:v>1.6E-2</c:v>
                </c:pt>
                <c:pt idx="43">
                  <c:v>1.6E-2</c:v>
                </c:pt>
                <c:pt idx="44">
                  <c:v>1.6E-2</c:v>
                </c:pt>
                <c:pt idx="45">
                  <c:v>1.6E-2</c:v>
                </c:pt>
                <c:pt idx="46">
                  <c:v>1.6E-2</c:v>
                </c:pt>
                <c:pt idx="47">
                  <c:v>1.7999999999999999E-2</c:v>
                </c:pt>
                <c:pt idx="48">
                  <c:v>1.7999999999999999E-2</c:v>
                </c:pt>
                <c:pt idx="49">
                  <c:v>1.7999999999999999E-2</c:v>
                </c:pt>
                <c:pt idx="50">
                  <c:v>1.7999999999999999E-2</c:v>
                </c:pt>
                <c:pt idx="51">
                  <c:v>1.9E-2</c:v>
                </c:pt>
                <c:pt idx="52">
                  <c:v>1.9E-2</c:v>
                </c:pt>
                <c:pt idx="53">
                  <c:v>0.02</c:v>
                </c:pt>
                <c:pt idx="54">
                  <c:v>2.1000000000000001E-2</c:v>
                </c:pt>
                <c:pt idx="55">
                  <c:v>2.1999999999999999E-2</c:v>
                </c:pt>
                <c:pt idx="56">
                  <c:v>2.4E-2</c:v>
                </c:pt>
                <c:pt idx="57">
                  <c:v>2.5000000000000001E-2</c:v>
                </c:pt>
                <c:pt idx="58">
                  <c:v>2.5999999999999999E-2</c:v>
                </c:pt>
                <c:pt idx="59">
                  <c:v>2.7000000000000003E-2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B-43B5-98F2-CC766CE0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25"/>
      </c:valAx>
      <c:valAx>
        <c:axId val="57849340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30 day in hospital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Summary'!$K$32</c:f>
          <c:strCache>
            <c:ptCount val="1"/>
            <c:pt idx="0">
              <c:v>% Consultant Present in Theatre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'Amputation Summary'!$K$32</c:f>
              <c:strCache>
                <c:ptCount val="1"/>
                <c:pt idx="0">
                  <c:v>% Consultant Present in Theatre 2021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'Major Lower Limb Amputation'!$X$8:$X$76</c:f>
              <c:numCache>
                <c:formatCode>General</c:formatCode>
                <c:ptCount val="69"/>
                <c:pt idx="0">
                  <c:v>22</c:v>
                </c:pt>
                <c:pt idx="1">
                  <c:v>5</c:v>
                </c:pt>
                <c:pt idx="2">
                  <c:v>57</c:v>
                </c:pt>
                <c:pt idx="3">
                  <c:v>35</c:v>
                </c:pt>
                <c:pt idx="4">
                  <c:v>15</c:v>
                </c:pt>
                <c:pt idx="5">
                  <c:v>54</c:v>
                </c:pt>
                <c:pt idx="6">
                  <c:v>39</c:v>
                </c:pt>
                <c:pt idx="7">
                  <c:v>26</c:v>
                </c:pt>
                <c:pt idx="8">
                  <c:v>56</c:v>
                </c:pt>
                <c:pt idx="9">
                  <c:v>31</c:v>
                </c:pt>
                <c:pt idx="10">
                  <c:v>57</c:v>
                </c:pt>
                <c:pt idx="11">
                  <c:v>39</c:v>
                </c:pt>
                <c:pt idx="12">
                  <c:v>38</c:v>
                </c:pt>
                <c:pt idx="13">
                  <c:v>21</c:v>
                </c:pt>
                <c:pt idx="14">
                  <c:v>18</c:v>
                </c:pt>
                <c:pt idx="15">
                  <c:v>57</c:v>
                </c:pt>
                <c:pt idx="16">
                  <c:v>23</c:v>
                </c:pt>
                <c:pt idx="17">
                  <c:v>11</c:v>
                </c:pt>
                <c:pt idx="18">
                  <c:v>39</c:v>
                </c:pt>
                <c:pt idx="19">
                  <c:v>8</c:v>
                </c:pt>
                <c:pt idx="20">
                  <c:v>57</c:v>
                </c:pt>
                <c:pt idx="21">
                  <c:v>26</c:v>
                </c:pt>
                <c:pt idx="22">
                  <c:v>39</c:v>
                </c:pt>
                <c:pt idx="23">
                  <c:v>14</c:v>
                </c:pt>
                <c:pt idx="24">
                  <c:v>39</c:v>
                </c:pt>
                <c:pt idx="25">
                  <c:v>4</c:v>
                </c:pt>
                <c:pt idx="26">
                  <c:v>57</c:v>
                </c:pt>
                <c:pt idx="27">
                  <c:v>39</c:v>
                </c:pt>
                <c:pt idx="28">
                  <c:v>3</c:v>
                </c:pt>
                <c:pt idx="29">
                  <c:v>57</c:v>
                </c:pt>
                <c:pt idx="30">
                  <c:v>57</c:v>
                </c:pt>
                <c:pt idx="31">
                  <c:v>0</c:v>
                </c:pt>
                <c:pt idx="32">
                  <c:v>57</c:v>
                </c:pt>
                <c:pt idx="33">
                  <c:v>28</c:v>
                </c:pt>
                <c:pt idx="34">
                  <c:v>2</c:v>
                </c:pt>
                <c:pt idx="35">
                  <c:v>17</c:v>
                </c:pt>
                <c:pt idx="36">
                  <c:v>1</c:v>
                </c:pt>
                <c:pt idx="37">
                  <c:v>48</c:v>
                </c:pt>
                <c:pt idx="38">
                  <c:v>39</c:v>
                </c:pt>
                <c:pt idx="39">
                  <c:v>39</c:v>
                </c:pt>
                <c:pt idx="40">
                  <c:v>35</c:v>
                </c:pt>
                <c:pt idx="41">
                  <c:v>7</c:v>
                </c:pt>
                <c:pt idx="42">
                  <c:v>57</c:v>
                </c:pt>
                <c:pt idx="43">
                  <c:v>0</c:v>
                </c:pt>
                <c:pt idx="44">
                  <c:v>24</c:v>
                </c:pt>
                <c:pt idx="45">
                  <c:v>50</c:v>
                </c:pt>
                <c:pt idx="46">
                  <c:v>57</c:v>
                </c:pt>
                <c:pt idx="47">
                  <c:v>31</c:v>
                </c:pt>
                <c:pt idx="48">
                  <c:v>51</c:v>
                </c:pt>
                <c:pt idx="49">
                  <c:v>51</c:v>
                </c:pt>
                <c:pt idx="50">
                  <c:v>29</c:v>
                </c:pt>
                <c:pt idx="51">
                  <c:v>11</c:v>
                </c:pt>
                <c:pt idx="52">
                  <c:v>25</c:v>
                </c:pt>
                <c:pt idx="53">
                  <c:v>9</c:v>
                </c:pt>
                <c:pt idx="54">
                  <c:v>11</c:v>
                </c:pt>
                <c:pt idx="55">
                  <c:v>0</c:v>
                </c:pt>
                <c:pt idx="56">
                  <c:v>20</c:v>
                </c:pt>
                <c:pt idx="57">
                  <c:v>39</c:v>
                </c:pt>
                <c:pt idx="58">
                  <c:v>35</c:v>
                </c:pt>
                <c:pt idx="59">
                  <c:v>6</c:v>
                </c:pt>
                <c:pt idx="60">
                  <c:v>10</c:v>
                </c:pt>
                <c:pt idx="61">
                  <c:v>16</c:v>
                </c:pt>
                <c:pt idx="62">
                  <c:v>54</c:v>
                </c:pt>
                <c:pt idx="63">
                  <c:v>51</c:v>
                </c:pt>
                <c:pt idx="64">
                  <c:v>18</c:v>
                </c:pt>
                <c:pt idx="65">
                  <c:v>31</c:v>
                </c:pt>
                <c:pt idx="66">
                  <c:v>31</c:v>
                </c:pt>
                <c:pt idx="67">
                  <c:v>48</c:v>
                </c:pt>
                <c:pt idx="68">
                  <c:v>29</c:v>
                </c:pt>
              </c:numCache>
            </c:numRef>
          </c:cat>
          <c:val>
            <c:numRef>
              <c:f>'Major Lower Limb Amputation'!$Y$8:$Y$76</c:f>
              <c:numCache>
                <c:formatCode>0.0%</c:formatCode>
                <c:ptCount val="69"/>
                <c:pt idx="0">
                  <c:v>0.73</c:v>
                </c:pt>
                <c:pt idx="1">
                  <c:v>0.35</c:v>
                </c:pt>
                <c:pt idx="2">
                  <c:v>1</c:v>
                </c:pt>
                <c:pt idx="3">
                  <c:v>0.87</c:v>
                </c:pt>
                <c:pt idx="4">
                  <c:v>0.56999999999999995</c:v>
                </c:pt>
                <c:pt idx="5">
                  <c:v>0.97</c:v>
                </c:pt>
                <c:pt idx="6">
                  <c:v>0.9</c:v>
                </c:pt>
                <c:pt idx="7">
                  <c:v>0.83</c:v>
                </c:pt>
                <c:pt idx="8">
                  <c:v>0.98</c:v>
                </c:pt>
                <c:pt idx="9">
                  <c:v>0.86</c:v>
                </c:pt>
                <c:pt idx="10">
                  <c:v>1</c:v>
                </c:pt>
                <c:pt idx="11">
                  <c:v>0.9</c:v>
                </c:pt>
                <c:pt idx="12">
                  <c:v>0.89</c:v>
                </c:pt>
                <c:pt idx="13">
                  <c:v>0.67</c:v>
                </c:pt>
                <c:pt idx="14">
                  <c:v>0.64</c:v>
                </c:pt>
                <c:pt idx="15">
                  <c:v>1</c:v>
                </c:pt>
                <c:pt idx="16">
                  <c:v>0.76</c:v>
                </c:pt>
                <c:pt idx="17">
                  <c:v>0.55000000000000004</c:v>
                </c:pt>
                <c:pt idx="18">
                  <c:v>0.9</c:v>
                </c:pt>
                <c:pt idx="19">
                  <c:v>0.44</c:v>
                </c:pt>
                <c:pt idx="20">
                  <c:v>1</c:v>
                </c:pt>
                <c:pt idx="21">
                  <c:v>0.83</c:v>
                </c:pt>
                <c:pt idx="22">
                  <c:v>0.9</c:v>
                </c:pt>
                <c:pt idx="23">
                  <c:v>0.56000000000000005</c:v>
                </c:pt>
                <c:pt idx="24">
                  <c:v>0.9</c:v>
                </c:pt>
                <c:pt idx="25">
                  <c:v>0.33</c:v>
                </c:pt>
                <c:pt idx="26">
                  <c:v>1</c:v>
                </c:pt>
                <c:pt idx="27">
                  <c:v>0.9</c:v>
                </c:pt>
                <c:pt idx="28">
                  <c:v>0.24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0.84</c:v>
                </c:pt>
                <c:pt idx="34">
                  <c:v>0.17</c:v>
                </c:pt>
                <c:pt idx="35">
                  <c:v>0.61</c:v>
                </c:pt>
                <c:pt idx="36">
                  <c:v>0.15</c:v>
                </c:pt>
                <c:pt idx="37">
                  <c:v>0.93</c:v>
                </c:pt>
                <c:pt idx="38">
                  <c:v>0.9</c:v>
                </c:pt>
                <c:pt idx="39">
                  <c:v>0.9</c:v>
                </c:pt>
                <c:pt idx="40">
                  <c:v>0.87</c:v>
                </c:pt>
                <c:pt idx="41">
                  <c:v>0.4</c:v>
                </c:pt>
                <c:pt idx="42">
                  <c:v>1</c:v>
                </c:pt>
                <c:pt idx="43">
                  <c:v>0</c:v>
                </c:pt>
                <c:pt idx="44">
                  <c:v>0.8</c:v>
                </c:pt>
                <c:pt idx="45">
                  <c:v>0.94</c:v>
                </c:pt>
                <c:pt idx="46">
                  <c:v>1</c:v>
                </c:pt>
                <c:pt idx="47">
                  <c:v>0.86</c:v>
                </c:pt>
                <c:pt idx="48">
                  <c:v>0.96</c:v>
                </c:pt>
                <c:pt idx="49">
                  <c:v>0.96</c:v>
                </c:pt>
                <c:pt idx="50">
                  <c:v>0.85</c:v>
                </c:pt>
                <c:pt idx="51">
                  <c:v>0.55000000000000004</c:v>
                </c:pt>
                <c:pt idx="52">
                  <c:v>0.81</c:v>
                </c:pt>
                <c:pt idx="53">
                  <c:v>0.47</c:v>
                </c:pt>
                <c:pt idx="54">
                  <c:v>0.55000000000000004</c:v>
                </c:pt>
                <c:pt idx="55">
                  <c:v>0</c:v>
                </c:pt>
                <c:pt idx="56">
                  <c:v>0.65</c:v>
                </c:pt>
                <c:pt idx="57">
                  <c:v>0.9</c:v>
                </c:pt>
                <c:pt idx="58">
                  <c:v>0.87</c:v>
                </c:pt>
                <c:pt idx="59">
                  <c:v>0.37</c:v>
                </c:pt>
                <c:pt idx="60">
                  <c:v>0.53</c:v>
                </c:pt>
                <c:pt idx="61">
                  <c:v>0.57999999999999996</c:v>
                </c:pt>
                <c:pt idx="62">
                  <c:v>0.97</c:v>
                </c:pt>
                <c:pt idx="63">
                  <c:v>0.96</c:v>
                </c:pt>
                <c:pt idx="64">
                  <c:v>0.64</c:v>
                </c:pt>
                <c:pt idx="65">
                  <c:v>0.86</c:v>
                </c:pt>
                <c:pt idx="66">
                  <c:v>0.86</c:v>
                </c:pt>
                <c:pt idx="67">
                  <c:v>0.93</c:v>
                </c:pt>
                <c:pt idx="68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'Amputation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'Amputation Summary'!$AD$4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'Amputation Summary'!$AB$4</c:f>
              <c:numCache>
                <c:formatCode>General</c:formatCode>
                <c:ptCount val="1"/>
                <c:pt idx="0">
                  <c:v>0.73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'Major Lower Limb Amputation'!$I$7</c:f>
          <c:strCache>
            <c:ptCount val="1"/>
            <c:pt idx="0">
              <c:v>AKA:BKA 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'Major Lower Limb Amputation'!$I$7</c:f>
              <c:strCache>
                <c:ptCount val="1"/>
                <c:pt idx="0">
                  <c:v>AKA:BKA 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'Major Lower Limb Amputation'!$AK$8:$AK$76</c:f>
                <c:numCache>
                  <c:formatCode>General</c:formatCode>
                  <c:ptCount val="69"/>
                  <c:pt idx="0">
                    <c:v>0.63</c:v>
                  </c:pt>
                  <c:pt idx="1">
                    <c:v>2.0299999999999998</c:v>
                  </c:pt>
                  <c:pt idx="2">
                    <c:v>1.8699999999999997</c:v>
                  </c:pt>
                  <c:pt idx="3">
                    <c:v>0.57000000000000006</c:v>
                  </c:pt>
                  <c:pt idx="4">
                    <c:v>0.28999999999999992</c:v>
                  </c:pt>
                  <c:pt idx="5">
                    <c:v>0.5</c:v>
                  </c:pt>
                  <c:pt idx="6">
                    <c:v>3.9400000000000004</c:v>
                  </c:pt>
                  <c:pt idx="7">
                    <c:v>0.41000000000000003</c:v>
                  </c:pt>
                  <c:pt idx="8">
                    <c:v>0.51</c:v>
                  </c:pt>
                  <c:pt idx="9">
                    <c:v>0.8400000000000003</c:v>
                  </c:pt>
                  <c:pt idx="10">
                    <c:v>5.5</c:v>
                  </c:pt>
                  <c:pt idx="11">
                    <c:v>2.4500000000000002</c:v>
                  </c:pt>
                  <c:pt idx="12">
                    <c:v>0.8899999999999999</c:v>
                  </c:pt>
                  <c:pt idx="13">
                    <c:v>2.29</c:v>
                  </c:pt>
                  <c:pt idx="14">
                    <c:v>1.02</c:v>
                  </c:pt>
                  <c:pt idx="15">
                    <c:v>0.88000000000000012</c:v>
                  </c:pt>
                  <c:pt idx="16">
                    <c:v>1.03</c:v>
                  </c:pt>
                  <c:pt idx="17">
                    <c:v>0.42999999999999994</c:v>
                  </c:pt>
                  <c:pt idx="18">
                    <c:v>0.25999999999999995</c:v>
                  </c:pt>
                  <c:pt idx="19">
                    <c:v>1.54</c:v>
                  </c:pt>
                  <c:pt idx="20">
                    <c:v>3.2899999999999996</c:v>
                  </c:pt>
                  <c:pt idx="21">
                    <c:v>1.54</c:v>
                  </c:pt>
                  <c:pt idx="22">
                    <c:v>0.53999999999999992</c:v>
                  </c:pt>
                  <c:pt idx="23">
                    <c:v>0.79999999999999982</c:v>
                  </c:pt>
                  <c:pt idx="24">
                    <c:v>1.2</c:v>
                  </c:pt>
                  <c:pt idx="25">
                    <c:v>3.0700000000000003</c:v>
                  </c:pt>
                  <c:pt idx="26">
                    <c:v>5.3</c:v>
                  </c:pt>
                  <c:pt idx="27">
                    <c:v>0.65000000000000013</c:v>
                  </c:pt>
                  <c:pt idx="28">
                    <c:v>0.91999999999999993</c:v>
                  </c:pt>
                  <c:pt idx="29">
                    <c:v>2.4500000000000002</c:v>
                  </c:pt>
                  <c:pt idx="30">
                    <c:v>1.23</c:v>
                  </c:pt>
                  <c:pt idx="31">
                    <c:v>0</c:v>
                  </c:pt>
                  <c:pt idx="32">
                    <c:v>0.4</c:v>
                  </c:pt>
                  <c:pt idx="33">
                    <c:v>0.62000000000000011</c:v>
                  </c:pt>
                  <c:pt idx="34">
                    <c:v>2.23</c:v>
                  </c:pt>
                  <c:pt idx="35">
                    <c:v>0.51000000000000012</c:v>
                  </c:pt>
                  <c:pt idx="36">
                    <c:v>0.5</c:v>
                  </c:pt>
                  <c:pt idx="37">
                    <c:v>0.48</c:v>
                  </c:pt>
                  <c:pt idx="38">
                    <c:v>1.38</c:v>
                  </c:pt>
                  <c:pt idx="39">
                    <c:v>1.5500000000000003</c:v>
                  </c:pt>
                  <c:pt idx="40">
                    <c:v>0.72</c:v>
                  </c:pt>
                  <c:pt idx="41">
                    <c:v>0.21999999999999997</c:v>
                  </c:pt>
                  <c:pt idx="42">
                    <c:v>2.17</c:v>
                  </c:pt>
                  <c:pt idx="43">
                    <c:v>0</c:v>
                  </c:pt>
                  <c:pt idx="44">
                    <c:v>0.53</c:v>
                  </c:pt>
                  <c:pt idx="45">
                    <c:v>0.82</c:v>
                  </c:pt>
                  <c:pt idx="46">
                    <c:v>4.5</c:v>
                  </c:pt>
                  <c:pt idx="47">
                    <c:v>1.5799999999999998</c:v>
                  </c:pt>
                  <c:pt idx="48">
                    <c:v>1.2200000000000002</c:v>
                  </c:pt>
                  <c:pt idx="49">
                    <c:v>0.87000000000000011</c:v>
                  </c:pt>
                  <c:pt idx="50">
                    <c:v>0.89000000000000012</c:v>
                  </c:pt>
                  <c:pt idx="51">
                    <c:v>0.45999999999999996</c:v>
                  </c:pt>
                  <c:pt idx="52">
                    <c:v>1.4899999999999998</c:v>
                  </c:pt>
                  <c:pt idx="53">
                    <c:v>0.6100000000000001</c:v>
                  </c:pt>
                  <c:pt idx="54">
                    <c:v>0.57000000000000006</c:v>
                  </c:pt>
                  <c:pt idx="55">
                    <c:v>0</c:v>
                  </c:pt>
                  <c:pt idx="56">
                    <c:v>1.7000000000000002</c:v>
                  </c:pt>
                  <c:pt idx="57">
                    <c:v>0.52</c:v>
                  </c:pt>
                  <c:pt idx="58">
                    <c:v>0.47000000000000008</c:v>
                  </c:pt>
                  <c:pt idx="59">
                    <c:v>1.3199999999999998</c:v>
                  </c:pt>
                  <c:pt idx="60">
                    <c:v>0.35000000000000009</c:v>
                  </c:pt>
                  <c:pt idx="61">
                    <c:v>0.67999999999999994</c:v>
                  </c:pt>
                  <c:pt idx="62">
                    <c:v>1.6099999999999999</c:v>
                  </c:pt>
                  <c:pt idx="63">
                    <c:v>1.61</c:v>
                  </c:pt>
                  <c:pt idx="64">
                    <c:v>0.6399999999999999</c:v>
                  </c:pt>
                  <c:pt idx="65">
                    <c:v>1.1000000000000001</c:v>
                  </c:pt>
                  <c:pt idx="66">
                    <c:v>1.21</c:v>
                  </c:pt>
                  <c:pt idx="67">
                    <c:v>0.7400000000000001</c:v>
                  </c:pt>
                  <c:pt idx="68">
                    <c:v>0.83000000000000007</c:v>
                  </c:pt>
                </c:numCache>
              </c:numRef>
            </c:plus>
            <c:minus>
              <c:numRef>
                <c:f>'Major Lower Limb Amputation'!$AL$8:$AL$76</c:f>
                <c:numCache>
                  <c:formatCode>General</c:formatCode>
                  <c:ptCount val="69"/>
                  <c:pt idx="0">
                    <c:v>0.33000000000000007</c:v>
                  </c:pt>
                  <c:pt idx="1">
                    <c:v>0.89</c:v>
                  </c:pt>
                  <c:pt idx="2">
                    <c:v>1.0600000000000003</c:v>
                  </c:pt>
                  <c:pt idx="3">
                    <c:v>0.30999999999999994</c:v>
                  </c:pt>
                  <c:pt idx="4">
                    <c:v>0.2</c:v>
                  </c:pt>
                  <c:pt idx="5">
                    <c:v>0.31000000000000005</c:v>
                  </c:pt>
                  <c:pt idx="6">
                    <c:v>1.53</c:v>
                  </c:pt>
                  <c:pt idx="7">
                    <c:v>0.25</c:v>
                  </c:pt>
                  <c:pt idx="8">
                    <c:v>0.33999999999999997</c:v>
                  </c:pt>
                  <c:pt idx="9">
                    <c:v>0.51999999999999991</c:v>
                  </c:pt>
                  <c:pt idx="10">
                    <c:v>1.63</c:v>
                  </c:pt>
                  <c:pt idx="11">
                    <c:v>0.71</c:v>
                  </c:pt>
                  <c:pt idx="12">
                    <c:v>0.47</c:v>
                  </c:pt>
                  <c:pt idx="13">
                    <c:v>0.95999999999999985</c:v>
                  </c:pt>
                  <c:pt idx="14">
                    <c:v>0.54999999999999993</c:v>
                  </c:pt>
                  <c:pt idx="15">
                    <c:v>0.49999999999999989</c:v>
                  </c:pt>
                  <c:pt idx="16">
                    <c:v>0.43</c:v>
                  </c:pt>
                  <c:pt idx="17">
                    <c:v>0.23000000000000004</c:v>
                  </c:pt>
                  <c:pt idx="18">
                    <c:v>0.15999999999999998</c:v>
                  </c:pt>
                  <c:pt idx="19">
                    <c:v>0.80999999999999994</c:v>
                  </c:pt>
                  <c:pt idx="20">
                    <c:v>1.08</c:v>
                  </c:pt>
                  <c:pt idx="21">
                    <c:v>0.80999999999999994</c:v>
                  </c:pt>
                  <c:pt idx="22">
                    <c:v>0.33999999999999997</c:v>
                  </c:pt>
                  <c:pt idx="23">
                    <c:v>0.49</c:v>
                  </c:pt>
                  <c:pt idx="24">
                    <c:v>0.57999999999999985</c:v>
                  </c:pt>
                  <c:pt idx="25">
                    <c:v>1.43</c:v>
                  </c:pt>
                  <c:pt idx="26">
                    <c:v>1.27</c:v>
                  </c:pt>
                  <c:pt idx="27">
                    <c:v>0.41999999999999993</c:v>
                  </c:pt>
                  <c:pt idx="28">
                    <c:v>0.6100000000000001</c:v>
                  </c:pt>
                  <c:pt idx="29">
                    <c:v>0.71</c:v>
                  </c:pt>
                  <c:pt idx="30">
                    <c:v>0.32</c:v>
                  </c:pt>
                  <c:pt idx="31">
                    <c:v>0</c:v>
                  </c:pt>
                  <c:pt idx="32">
                    <c:v>0.19</c:v>
                  </c:pt>
                  <c:pt idx="33">
                    <c:v>0.39999999999999991</c:v>
                  </c:pt>
                  <c:pt idx="34">
                    <c:v>0.41000000000000003</c:v>
                  </c:pt>
                  <c:pt idx="35">
                    <c:v>0.26999999999999996</c:v>
                  </c:pt>
                  <c:pt idx="36">
                    <c:v>0.32999999999999996</c:v>
                  </c:pt>
                  <c:pt idx="37">
                    <c:v>0.27999999999999997</c:v>
                  </c:pt>
                  <c:pt idx="38">
                    <c:v>0.67</c:v>
                  </c:pt>
                  <c:pt idx="39">
                    <c:v>0.73999999999999988</c:v>
                  </c:pt>
                  <c:pt idx="40">
                    <c:v>0.43000000000000005</c:v>
                  </c:pt>
                  <c:pt idx="41">
                    <c:v>0.13999999999999999</c:v>
                  </c:pt>
                  <c:pt idx="42">
                    <c:v>0.89</c:v>
                  </c:pt>
                  <c:pt idx="43">
                    <c:v>0</c:v>
                  </c:pt>
                  <c:pt idx="44">
                    <c:v>0.26</c:v>
                  </c:pt>
                  <c:pt idx="45">
                    <c:v>0.41</c:v>
                  </c:pt>
                  <c:pt idx="46">
                    <c:v>2.39</c:v>
                  </c:pt>
                  <c:pt idx="47">
                    <c:v>0.67999999999999994</c:v>
                  </c:pt>
                  <c:pt idx="48">
                    <c:v>0.67</c:v>
                  </c:pt>
                  <c:pt idx="49">
                    <c:v>0.38999999999999996</c:v>
                  </c:pt>
                  <c:pt idx="50">
                    <c:v>0.52</c:v>
                  </c:pt>
                  <c:pt idx="51">
                    <c:v>0.29000000000000004</c:v>
                  </c:pt>
                  <c:pt idx="52">
                    <c:v>0.63000000000000012</c:v>
                  </c:pt>
                  <c:pt idx="53">
                    <c:v>0.42000000000000004</c:v>
                  </c:pt>
                  <c:pt idx="54">
                    <c:v>0.32</c:v>
                  </c:pt>
                  <c:pt idx="55">
                    <c:v>0</c:v>
                  </c:pt>
                  <c:pt idx="56">
                    <c:v>3.55</c:v>
                  </c:pt>
                  <c:pt idx="57">
                    <c:v>0.33999999999999997</c:v>
                  </c:pt>
                  <c:pt idx="58">
                    <c:v>0.31000000000000005</c:v>
                  </c:pt>
                  <c:pt idx="59">
                    <c:v>0.8600000000000001</c:v>
                  </c:pt>
                  <c:pt idx="60">
                    <c:v>0.24</c:v>
                  </c:pt>
                  <c:pt idx="61">
                    <c:v>0.33999999999999997</c:v>
                  </c:pt>
                  <c:pt idx="62">
                    <c:v>0.78</c:v>
                  </c:pt>
                  <c:pt idx="63">
                    <c:v>0.73000000000000009</c:v>
                  </c:pt>
                  <c:pt idx="64">
                    <c:v>0.36000000000000004</c:v>
                  </c:pt>
                  <c:pt idx="65">
                    <c:v>0.47</c:v>
                  </c:pt>
                  <c:pt idx="66">
                    <c:v>0.15000000000000002</c:v>
                  </c:pt>
                  <c:pt idx="67">
                    <c:v>0.39</c:v>
                  </c:pt>
                  <c:pt idx="68">
                    <c:v>0.43999999999999995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'Major Lower Limb Amputation'!$AM$8:$AM$76</c:f>
              <c:numCache>
                <c:formatCode>General</c:formatCode>
                <c:ptCount val="69"/>
                <c:pt idx="0">
                  <c:v>12</c:v>
                </c:pt>
                <c:pt idx="1">
                  <c:v>53</c:v>
                </c:pt>
                <c:pt idx="2">
                  <c:v>61</c:v>
                </c:pt>
                <c:pt idx="3">
                  <c:v>13</c:v>
                </c:pt>
                <c:pt idx="4">
                  <c:v>10</c:v>
                </c:pt>
                <c:pt idx="5">
                  <c:v>21</c:v>
                </c:pt>
                <c:pt idx="6">
                  <c:v>62</c:v>
                </c:pt>
                <c:pt idx="7">
                  <c:v>11</c:v>
                </c:pt>
                <c:pt idx="8">
                  <c:v>31</c:v>
                </c:pt>
                <c:pt idx="9">
                  <c:v>48</c:v>
                </c:pt>
                <c:pt idx="10">
                  <c:v>60</c:v>
                </c:pt>
                <c:pt idx="11">
                  <c:v>32</c:v>
                </c:pt>
                <c:pt idx="12">
                  <c:v>33</c:v>
                </c:pt>
                <c:pt idx="13">
                  <c:v>55</c:v>
                </c:pt>
                <c:pt idx="14">
                  <c:v>40</c:v>
                </c:pt>
                <c:pt idx="15">
                  <c:v>38</c:v>
                </c:pt>
                <c:pt idx="16">
                  <c:v>18</c:v>
                </c:pt>
                <c:pt idx="17">
                  <c:v>8</c:v>
                </c:pt>
                <c:pt idx="18">
                  <c:v>4</c:v>
                </c:pt>
                <c:pt idx="19">
                  <c:v>57</c:v>
                </c:pt>
                <c:pt idx="20">
                  <c:v>54</c:v>
                </c:pt>
                <c:pt idx="21">
                  <c:v>58</c:v>
                </c:pt>
                <c:pt idx="22">
                  <c:v>26</c:v>
                </c:pt>
                <c:pt idx="23">
                  <c:v>43</c:v>
                </c:pt>
                <c:pt idx="24">
                  <c:v>39</c:v>
                </c:pt>
                <c:pt idx="25">
                  <c:v>64</c:v>
                </c:pt>
                <c:pt idx="26">
                  <c:v>56</c:v>
                </c:pt>
                <c:pt idx="27">
                  <c:v>41</c:v>
                </c:pt>
                <c:pt idx="28">
                  <c:v>59</c:v>
                </c:pt>
                <c:pt idx="29">
                  <c:v>34</c:v>
                </c:pt>
                <c:pt idx="30">
                  <c:v>5</c:v>
                </c:pt>
                <c:pt idx="31">
                  <c:v>67</c:v>
                </c:pt>
                <c:pt idx="32">
                  <c:v>3</c:v>
                </c:pt>
                <c:pt idx="33">
                  <c:v>37</c:v>
                </c:pt>
                <c:pt idx="34">
                  <c:v>6</c:v>
                </c:pt>
                <c:pt idx="35">
                  <c:v>9</c:v>
                </c:pt>
                <c:pt idx="36">
                  <c:v>30</c:v>
                </c:pt>
                <c:pt idx="37">
                  <c:v>14</c:v>
                </c:pt>
                <c:pt idx="38">
                  <c:v>46</c:v>
                </c:pt>
                <c:pt idx="39">
                  <c:v>49</c:v>
                </c:pt>
                <c:pt idx="40">
                  <c:v>35</c:v>
                </c:pt>
                <c:pt idx="41">
                  <c:v>2</c:v>
                </c:pt>
                <c:pt idx="42">
                  <c:v>50</c:v>
                </c:pt>
                <c:pt idx="43">
                  <c:v>68</c:v>
                </c:pt>
                <c:pt idx="44">
                  <c:v>7</c:v>
                </c:pt>
                <c:pt idx="45">
                  <c:v>23</c:v>
                </c:pt>
                <c:pt idx="46">
                  <c:v>65</c:v>
                </c:pt>
                <c:pt idx="47">
                  <c:v>42</c:v>
                </c:pt>
                <c:pt idx="48">
                  <c:v>51</c:v>
                </c:pt>
                <c:pt idx="49">
                  <c:v>17</c:v>
                </c:pt>
                <c:pt idx="50">
                  <c:v>44</c:v>
                </c:pt>
                <c:pt idx="51">
                  <c:v>22</c:v>
                </c:pt>
                <c:pt idx="52">
                  <c:v>36</c:v>
                </c:pt>
                <c:pt idx="53">
                  <c:v>45</c:v>
                </c:pt>
                <c:pt idx="54">
                  <c:v>19</c:v>
                </c:pt>
                <c:pt idx="55">
                  <c:v>69</c:v>
                </c:pt>
                <c:pt idx="56">
                  <c:v>66</c:v>
                </c:pt>
                <c:pt idx="57">
                  <c:v>28</c:v>
                </c:pt>
                <c:pt idx="58">
                  <c:v>27</c:v>
                </c:pt>
                <c:pt idx="59">
                  <c:v>63</c:v>
                </c:pt>
                <c:pt idx="60">
                  <c:v>16</c:v>
                </c:pt>
                <c:pt idx="61">
                  <c:v>15</c:v>
                </c:pt>
                <c:pt idx="62">
                  <c:v>52</c:v>
                </c:pt>
                <c:pt idx="63">
                  <c:v>47</c:v>
                </c:pt>
                <c:pt idx="64">
                  <c:v>20</c:v>
                </c:pt>
                <c:pt idx="65">
                  <c:v>24</c:v>
                </c:pt>
                <c:pt idx="66">
                  <c:v>1</c:v>
                </c:pt>
                <c:pt idx="67">
                  <c:v>25</c:v>
                </c:pt>
                <c:pt idx="68">
                  <c:v>29</c:v>
                </c:pt>
              </c:numCache>
            </c:numRef>
          </c:xVal>
          <c:yVal>
            <c:numRef>
              <c:f>'Major Lower Limb Amputation'!$I$8:$I$76</c:f>
              <c:numCache>
                <c:formatCode>0.00</c:formatCode>
                <c:ptCount val="69"/>
                <c:pt idx="0">
                  <c:v>0.68</c:v>
                </c:pt>
                <c:pt idx="1">
                  <c:v>1.56</c:v>
                </c:pt>
                <c:pt idx="2">
                  <c:v>2.4700000000000002</c:v>
                </c:pt>
                <c:pt idx="3">
                  <c:v>0.7</c:v>
                </c:pt>
                <c:pt idx="4">
                  <c:v>0.65</c:v>
                </c:pt>
                <c:pt idx="5">
                  <c:v>0.81</c:v>
                </c:pt>
                <c:pt idx="6">
                  <c:v>2.5</c:v>
                </c:pt>
                <c:pt idx="7">
                  <c:v>0.65</c:v>
                </c:pt>
                <c:pt idx="8">
                  <c:v>1</c:v>
                </c:pt>
                <c:pt idx="9">
                  <c:v>1.38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1.63</c:v>
                </c:pt>
                <c:pt idx="14">
                  <c:v>1.17</c:v>
                </c:pt>
                <c:pt idx="15">
                  <c:v>1.1399999999999999</c:v>
                </c:pt>
                <c:pt idx="16">
                  <c:v>0.75</c:v>
                </c:pt>
                <c:pt idx="17">
                  <c:v>0.53</c:v>
                </c:pt>
                <c:pt idx="18">
                  <c:v>0.43</c:v>
                </c:pt>
                <c:pt idx="19">
                  <c:v>1.73</c:v>
                </c:pt>
                <c:pt idx="20">
                  <c:v>1.6</c:v>
                </c:pt>
                <c:pt idx="21">
                  <c:v>1.73</c:v>
                </c:pt>
                <c:pt idx="22">
                  <c:v>0.89</c:v>
                </c:pt>
                <c:pt idx="23">
                  <c:v>1.25</c:v>
                </c:pt>
                <c:pt idx="24">
                  <c:v>1.1399999999999999</c:v>
                </c:pt>
                <c:pt idx="25">
                  <c:v>2.67</c:v>
                </c:pt>
                <c:pt idx="26">
                  <c:v>1.67</c:v>
                </c:pt>
                <c:pt idx="27">
                  <c:v>1.17</c:v>
                </c:pt>
                <c:pt idx="28">
                  <c:v>1.83</c:v>
                </c:pt>
                <c:pt idx="29">
                  <c:v>1</c:v>
                </c:pt>
                <c:pt idx="30">
                  <c:v>0.43</c:v>
                </c:pt>
                <c:pt idx="31">
                  <c:v>0</c:v>
                </c:pt>
                <c:pt idx="32">
                  <c:v>0.39</c:v>
                </c:pt>
                <c:pt idx="33">
                  <c:v>1.1299999999999999</c:v>
                </c:pt>
                <c:pt idx="34">
                  <c:v>0.5</c:v>
                </c:pt>
                <c:pt idx="35">
                  <c:v>0.57999999999999996</c:v>
                </c:pt>
                <c:pt idx="36">
                  <c:v>0.98</c:v>
                </c:pt>
                <c:pt idx="37">
                  <c:v>0.71</c:v>
                </c:pt>
                <c:pt idx="38">
                  <c:v>1.31</c:v>
                </c:pt>
                <c:pt idx="39">
                  <c:v>1.42</c:v>
                </c:pt>
                <c:pt idx="40">
                  <c:v>1.1000000000000001</c:v>
                </c:pt>
                <c:pt idx="41">
                  <c:v>0.37</c:v>
                </c:pt>
                <c:pt idx="42">
                  <c:v>1.5</c:v>
                </c:pt>
                <c:pt idx="43">
                  <c:v>0</c:v>
                </c:pt>
                <c:pt idx="44">
                  <c:v>0.52</c:v>
                </c:pt>
                <c:pt idx="45">
                  <c:v>0.83</c:v>
                </c:pt>
                <c:pt idx="46">
                  <c:v>3</c:v>
                </c:pt>
                <c:pt idx="47">
                  <c:v>1.2</c:v>
                </c:pt>
                <c:pt idx="48">
                  <c:v>1.5</c:v>
                </c:pt>
                <c:pt idx="49">
                  <c:v>0.73</c:v>
                </c:pt>
                <c:pt idx="50">
                  <c:v>1.25</c:v>
                </c:pt>
                <c:pt idx="51">
                  <c:v>0.81</c:v>
                </c:pt>
                <c:pt idx="52">
                  <c:v>1.1000000000000001</c:v>
                </c:pt>
                <c:pt idx="53">
                  <c:v>1.26</c:v>
                </c:pt>
                <c:pt idx="54">
                  <c:v>0.75</c:v>
                </c:pt>
                <c:pt idx="55">
                  <c:v>0</c:v>
                </c:pt>
                <c:pt idx="56">
                  <c:v>5.8</c:v>
                </c:pt>
                <c:pt idx="57">
                  <c:v>0.95</c:v>
                </c:pt>
                <c:pt idx="58">
                  <c:v>0.89</c:v>
                </c:pt>
                <c:pt idx="59">
                  <c:v>2.5</c:v>
                </c:pt>
                <c:pt idx="60">
                  <c:v>0.72</c:v>
                </c:pt>
                <c:pt idx="61">
                  <c:v>0.71</c:v>
                </c:pt>
                <c:pt idx="62">
                  <c:v>1.5</c:v>
                </c:pt>
                <c:pt idx="63">
                  <c:v>1.36</c:v>
                </c:pt>
                <c:pt idx="64">
                  <c:v>0.8</c:v>
                </c:pt>
                <c:pt idx="65">
                  <c:v>0.83</c:v>
                </c:pt>
                <c:pt idx="66">
                  <c:v>0.17</c:v>
                </c:pt>
                <c:pt idx="67">
                  <c:v>0.86</c:v>
                </c:pt>
                <c:pt idx="68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E-4601-ACB5-2F25970004B4}"/>
            </c:ext>
          </c:extLst>
        </c:ser>
        <c:ser>
          <c:idx val="1"/>
          <c:order val="1"/>
          <c:tx>
            <c:strRef>
              <c:f>'Amputation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'Amputation Summary'!$AC$6</c:f>
                <c:numCache>
                  <c:formatCode>General</c:formatCode>
                  <c:ptCount val="1"/>
                  <c:pt idx="0">
                    <c:v>0.63</c:v>
                  </c:pt>
                </c:numCache>
              </c:numRef>
            </c:plus>
            <c:minus>
              <c:numRef>
                <c:f>'Amputation Summary'!$AB$6</c:f>
                <c:numCache>
                  <c:formatCode>General</c:formatCode>
                  <c:ptCount val="1"/>
                  <c:pt idx="0">
                    <c:v>0.33000000000000007</c:v>
                  </c:pt>
                </c:numCache>
              </c:numRef>
            </c:minus>
            <c:spPr>
              <a:noFill/>
              <a:ln w="31750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'Amputation Summary'!$AD$6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'Amputation Summary'!$AA$6</c:f>
              <c:numCache>
                <c:formatCode>General</c:formatCode>
                <c:ptCount val="1"/>
                <c:pt idx="0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E-4601-ACB5-2F25970004B4}"/>
            </c:ext>
          </c:extLst>
        </c:ser>
        <c:ser>
          <c:idx val="2"/>
          <c:order val="2"/>
          <c:tx>
            <c:v>AKA:BKA Standard</c:v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'Major Lower Limb Amputation'!$AM$8:$AM$76</c:f>
              <c:numCache>
                <c:formatCode>General</c:formatCode>
                <c:ptCount val="69"/>
                <c:pt idx="0">
                  <c:v>12</c:v>
                </c:pt>
                <c:pt idx="1">
                  <c:v>53</c:v>
                </c:pt>
                <c:pt idx="2">
                  <c:v>61</c:v>
                </c:pt>
                <c:pt idx="3">
                  <c:v>13</c:v>
                </c:pt>
                <c:pt idx="4">
                  <c:v>10</c:v>
                </c:pt>
                <c:pt idx="5">
                  <c:v>21</c:v>
                </c:pt>
                <c:pt idx="6">
                  <c:v>62</c:v>
                </c:pt>
                <c:pt idx="7">
                  <c:v>11</c:v>
                </c:pt>
                <c:pt idx="8">
                  <c:v>31</c:v>
                </c:pt>
                <c:pt idx="9">
                  <c:v>48</c:v>
                </c:pt>
                <c:pt idx="10">
                  <c:v>60</c:v>
                </c:pt>
                <c:pt idx="11">
                  <c:v>32</c:v>
                </c:pt>
                <c:pt idx="12">
                  <c:v>33</c:v>
                </c:pt>
                <c:pt idx="13">
                  <c:v>55</c:v>
                </c:pt>
                <c:pt idx="14">
                  <c:v>40</c:v>
                </c:pt>
                <c:pt idx="15">
                  <c:v>38</c:v>
                </c:pt>
                <c:pt idx="16">
                  <c:v>18</c:v>
                </c:pt>
                <c:pt idx="17">
                  <c:v>8</c:v>
                </c:pt>
                <c:pt idx="18">
                  <c:v>4</c:v>
                </c:pt>
                <c:pt idx="19">
                  <c:v>57</c:v>
                </c:pt>
                <c:pt idx="20">
                  <c:v>54</c:v>
                </c:pt>
                <c:pt idx="21">
                  <c:v>58</c:v>
                </c:pt>
                <c:pt idx="22">
                  <c:v>26</c:v>
                </c:pt>
                <c:pt idx="23">
                  <c:v>43</c:v>
                </c:pt>
                <c:pt idx="24">
                  <c:v>39</c:v>
                </c:pt>
                <c:pt idx="25">
                  <c:v>64</c:v>
                </c:pt>
                <c:pt idx="26">
                  <c:v>56</c:v>
                </c:pt>
                <c:pt idx="27">
                  <c:v>41</c:v>
                </c:pt>
                <c:pt idx="28">
                  <c:v>59</c:v>
                </c:pt>
                <c:pt idx="29">
                  <c:v>34</c:v>
                </c:pt>
                <c:pt idx="30">
                  <c:v>5</c:v>
                </c:pt>
                <c:pt idx="31">
                  <c:v>67</c:v>
                </c:pt>
                <c:pt idx="32">
                  <c:v>3</c:v>
                </c:pt>
                <c:pt idx="33">
                  <c:v>37</c:v>
                </c:pt>
                <c:pt idx="34">
                  <c:v>6</c:v>
                </c:pt>
                <c:pt idx="35">
                  <c:v>9</c:v>
                </c:pt>
                <c:pt idx="36">
                  <c:v>30</c:v>
                </c:pt>
                <c:pt idx="37">
                  <c:v>14</c:v>
                </c:pt>
                <c:pt idx="38">
                  <c:v>46</c:v>
                </c:pt>
                <c:pt idx="39">
                  <c:v>49</c:v>
                </c:pt>
                <c:pt idx="40">
                  <c:v>35</c:v>
                </c:pt>
                <c:pt idx="41">
                  <c:v>2</c:v>
                </c:pt>
                <c:pt idx="42">
                  <c:v>50</c:v>
                </c:pt>
                <c:pt idx="43">
                  <c:v>68</c:v>
                </c:pt>
                <c:pt idx="44">
                  <c:v>7</c:v>
                </c:pt>
                <c:pt idx="45">
                  <c:v>23</c:v>
                </c:pt>
                <c:pt idx="46">
                  <c:v>65</c:v>
                </c:pt>
                <c:pt idx="47">
                  <c:v>42</c:v>
                </c:pt>
                <c:pt idx="48">
                  <c:v>51</c:v>
                </c:pt>
                <c:pt idx="49">
                  <c:v>17</c:v>
                </c:pt>
                <c:pt idx="50">
                  <c:v>44</c:v>
                </c:pt>
                <c:pt idx="51">
                  <c:v>22</c:v>
                </c:pt>
                <c:pt idx="52">
                  <c:v>36</c:v>
                </c:pt>
                <c:pt idx="53">
                  <c:v>45</c:v>
                </c:pt>
                <c:pt idx="54">
                  <c:v>19</c:v>
                </c:pt>
                <c:pt idx="55">
                  <c:v>69</c:v>
                </c:pt>
                <c:pt idx="56">
                  <c:v>66</c:v>
                </c:pt>
                <c:pt idx="57">
                  <c:v>28</c:v>
                </c:pt>
                <c:pt idx="58">
                  <c:v>27</c:v>
                </c:pt>
                <c:pt idx="59">
                  <c:v>63</c:v>
                </c:pt>
                <c:pt idx="60">
                  <c:v>16</c:v>
                </c:pt>
                <c:pt idx="61">
                  <c:v>15</c:v>
                </c:pt>
                <c:pt idx="62">
                  <c:v>52</c:v>
                </c:pt>
                <c:pt idx="63">
                  <c:v>47</c:v>
                </c:pt>
                <c:pt idx="64">
                  <c:v>20</c:v>
                </c:pt>
                <c:pt idx="65">
                  <c:v>24</c:v>
                </c:pt>
                <c:pt idx="66">
                  <c:v>1</c:v>
                </c:pt>
                <c:pt idx="67">
                  <c:v>25</c:v>
                </c:pt>
                <c:pt idx="68">
                  <c:v>29</c:v>
                </c:pt>
              </c:numCache>
            </c:numRef>
          </c:xVal>
          <c:yVal>
            <c:numRef>
              <c:f>'Major Lower Limb Amputation'!$AJ$8:$AJ$76</c:f>
              <c:numCache>
                <c:formatCode>General</c:formatCode>
                <c:ptCount val="6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1E-4601-ACB5-2F259700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6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symptom to CEA (days)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Symptom to CEA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Summary'!$AJ$2:$AJ$69</c:f>
                <c:numCache>
                  <c:formatCode>General</c:formatCode>
                  <c:ptCount val="68"/>
                  <c:pt idx="0">
                    <c:v>6</c:v>
                  </c:pt>
                  <c:pt idx="1">
                    <c:v>4</c:v>
                  </c:pt>
                  <c:pt idx="2">
                    <c:v>3</c:v>
                  </c:pt>
                  <c:pt idx="3">
                    <c:v>3</c:v>
                  </c:pt>
                  <c:pt idx="4">
                    <c:v>6</c:v>
                  </c:pt>
                  <c:pt idx="5">
                    <c:v>10</c:v>
                  </c:pt>
                  <c:pt idx="6">
                    <c:v>5</c:v>
                  </c:pt>
                  <c:pt idx="7">
                    <c:v>6</c:v>
                  </c:pt>
                  <c:pt idx="8">
                    <c:v>5</c:v>
                  </c:pt>
                  <c:pt idx="9">
                    <c:v>5</c:v>
                  </c:pt>
                  <c:pt idx="10">
                    <c:v>6</c:v>
                  </c:pt>
                  <c:pt idx="11">
                    <c:v>9</c:v>
                  </c:pt>
                  <c:pt idx="12">
                    <c:v>2</c:v>
                  </c:pt>
                  <c:pt idx="13">
                    <c:v>6</c:v>
                  </c:pt>
                  <c:pt idx="14">
                    <c:v>9</c:v>
                  </c:pt>
                  <c:pt idx="15">
                    <c:v>11</c:v>
                  </c:pt>
                  <c:pt idx="16">
                    <c:v>4</c:v>
                  </c:pt>
                  <c:pt idx="17">
                    <c:v>5</c:v>
                  </c:pt>
                  <c:pt idx="18">
                    <c:v>10</c:v>
                  </c:pt>
                  <c:pt idx="19">
                    <c:v>12</c:v>
                  </c:pt>
                  <c:pt idx="20">
                    <c:v>4</c:v>
                  </c:pt>
                  <c:pt idx="21">
                    <c:v>4</c:v>
                  </c:pt>
                  <c:pt idx="22">
                    <c:v>3</c:v>
                  </c:pt>
                  <c:pt idx="23">
                    <c:v>5</c:v>
                  </c:pt>
                  <c:pt idx="24">
                    <c:v>8</c:v>
                  </c:pt>
                  <c:pt idx="25">
                    <c:v>6</c:v>
                  </c:pt>
                  <c:pt idx="26">
                    <c:v>5</c:v>
                  </c:pt>
                  <c:pt idx="27">
                    <c:v>6</c:v>
                  </c:pt>
                  <c:pt idx="28">
                    <c:v>12</c:v>
                  </c:pt>
                  <c:pt idx="29">
                    <c:v>6</c:v>
                  </c:pt>
                  <c:pt idx="30">
                    <c:v>6</c:v>
                  </c:pt>
                  <c:pt idx="31">
                    <c:v>17</c:v>
                  </c:pt>
                  <c:pt idx="32">
                    <c:v>6</c:v>
                  </c:pt>
                  <c:pt idx="33">
                    <c:v>6</c:v>
                  </c:pt>
                  <c:pt idx="34">
                    <c:v>8</c:v>
                  </c:pt>
                  <c:pt idx="35">
                    <c:v>8</c:v>
                  </c:pt>
                  <c:pt idx="36">
                    <c:v>9</c:v>
                  </c:pt>
                  <c:pt idx="37">
                    <c:v>10</c:v>
                  </c:pt>
                  <c:pt idx="38">
                    <c:v>5</c:v>
                  </c:pt>
                  <c:pt idx="39">
                    <c:v>7</c:v>
                  </c:pt>
                  <c:pt idx="40">
                    <c:v>7</c:v>
                  </c:pt>
                  <c:pt idx="41">
                    <c:v>14</c:v>
                  </c:pt>
                  <c:pt idx="42">
                    <c:v>5</c:v>
                  </c:pt>
                  <c:pt idx="43">
                    <c:v>3</c:v>
                  </c:pt>
                  <c:pt idx="44">
                    <c:v>40</c:v>
                  </c:pt>
                  <c:pt idx="45">
                    <c:v>2</c:v>
                  </c:pt>
                  <c:pt idx="46">
                    <c:v>4</c:v>
                  </c:pt>
                  <c:pt idx="47">
                    <c:v>5</c:v>
                  </c:pt>
                  <c:pt idx="48">
                    <c:v>7</c:v>
                  </c:pt>
                  <c:pt idx="49">
                    <c:v>10</c:v>
                  </c:pt>
                  <c:pt idx="50">
                    <c:v>12</c:v>
                  </c:pt>
                  <c:pt idx="51">
                    <c:v>14</c:v>
                  </c:pt>
                  <c:pt idx="52">
                    <c:v>19</c:v>
                  </c:pt>
                  <c:pt idx="53">
                    <c:v>#N/A</c:v>
                  </c:pt>
                  <c:pt idx="54">
                    <c:v>17</c:v>
                  </c:pt>
                  <c:pt idx="55">
                    <c:v>21</c:v>
                  </c:pt>
                  <c:pt idx="56">
                    <c:v>10</c:v>
                  </c:pt>
                  <c:pt idx="57">
                    <c:v>14</c:v>
                  </c:pt>
                  <c:pt idx="58">
                    <c:v>19</c:v>
                  </c:pt>
                  <c:pt idx="59">
                    <c:v>4</c:v>
                  </c:pt>
                  <c:pt idx="60">
                    <c:v>9</c:v>
                  </c:pt>
                  <c:pt idx="61">
                    <c:v>15</c:v>
                  </c:pt>
                  <c:pt idx="62">
                    <c:v>14</c:v>
                  </c:pt>
                  <c:pt idx="63">
                    <c:v>26</c:v>
                  </c:pt>
                  <c:pt idx="64">
                    <c:v>20</c:v>
                  </c:pt>
                  <c:pt idx="65">
                    <c:v>17</c:v>
                  </c:pt>
                  <c:pt idx="66">
                    <c:v>15</c:v>
                  </c:pt>
                </c:numCache>
              </c:numRef>
            </c:plus>
            <c:minus>
              <c:numRef>
                <c:f>'CEA Summary'!$AI$2:$AI$69</c:f>
                <c:numCache>
                  <c:formatCode>General</c:formatCode>
                  <c:ptCount val="68"/>
                  <c:pt idx="0">
                    <c:v>2</c:v>
                  </c:pt>
                  <c:pt idx="1">
                    <c:v>3</c:v>
                  </c:pt>
                  <c:pt idx="2">
                    <c:v>2</c:v>
                  </c:pt>
                  <c:pt idx="3">
                    <c:v>2</c:v>
                  </c:pt>
                  <c:pt idx="4">
                    <c:v>2</c:v>
                  </c:pt>
                  <c:pt idx="5">
                    <c:v>2</c:v>
                  </c:pt>
                  <c:pt idx="6">
                    <c:v>3</c:v>
                  </c:pt>
                  <c:pt idx="7">
                    <c:v>3</c:v>
                  </c:pt>
                  <c:pt idx="8">
                    <c:v>2</c:v>
                  </c:pt>
                  <c:pt idx="9">
                    <c:v>4</c:v>
                  </c:pt>
                  <c:pt idx="10">
                    <c:v>3</c:v>
                  </c:pt>
                  <c:pt idx="11">
                    <c:v>3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4</c:v>
                  </c:pt>
                  <c:pt idx="16">
                    <c:v>3</c:v>
                  </c:pt>
                  <c:pt idx="17">
                    <c:v>3</c:v>
                  </c:pt>
                  <c:pt idx="18">
                    <c:v>3</c:v>
                  </c:pt>
                  <c:pt idx="19">
                    <c:v>3</c:v>
                  </c:pt>
                  <c:pt idx="20">
                    <c:v>2</c:v>
                  </c:pt>
                  <c:pt idx="21">
                    <c:v>2</c:v>
                  </c:pt>
                  <c:pt idx="22">
                    <c:v>3</c:v>
                  </c:pt>
                  <c:pt idx="23">
                    <c:v>3</c:v>
                  </c:pt>
                  <c:pt idx="24">
                    <c:v>3</c:v>
                  </c:pt>
                  <c:pt idx="25">
                    <c:v>6</c:v>
                  </c:pt>
                  <c:pt idx="26">
                    <c:v>5</c:v>
                  </c:pt>
                  <c:pt idx="27">
                    <c:v>4</c:v>
                  </c:pt>
                  <c:pt idx="28">
                    <c:v>4</c:v>
                  </c:pt>
                  <c:pt idx="29">
                    <c:v>3</c:v>
                  </c:pt>
                  <c:pt idx="30">
                    <c:v>3</c:v>
                  </c:pt>
                  <c:pt idx="31">
                    <c:v>5</c:v>
                  </c:pt>
                  <c:pt idx="32">
                    <c:v>3</c:v>
                  </c:pt>
                  <c:pt idx="33">
                    <c:v>3</c:v>
                  </c:pt>
                  <c:pt idx="34">
                    <c:v>3</c:v>
                  </c:pt>
                  <c:pt idx="35">
                    <c:v>7</c:v>
                  </c:pt>
                  <c:pt idx="36">
                    <c:v>7</c:v>
                  </c:pt>
                  <c:pt idx="37">
                    <c:v>6</c:v>
                  </c:pt>
                  <c:pt idx="38">
                    <c:v>5</c:v>
                  </c:pt>
                  <c:pt idx="39">
                    <c:v>5</c:v>
                  </c:pt>
                  <c:pt idx="40">
                    <c:v>4</c:v>
                  </c:pt>
                  <c:pt idx="41">
                    <c:v>4</c:v>
                  </c:pt>
                  <c:pt idx="42">
                    <c:v>3</c:v>
                  </c:pt>
                  <c:pt idx="43">
                    <c:v>2</c:v>
                  </c:pt>
                  <c:pt idx="44">
                    <c:v>7</c:v>
                  </c:pt>
                  <c:pt idx="45">
                    <c:v>3</c:v>
                  </c:pt>
                  <c:pt idx="46">
                    <c:v>3</c:v>
                  </c:pt>
                  <c:pt idx="47">
                    <c:v>3</c:v>
                  </c:pt>
                  <c:pt idx="48">
                    <c:v>6</c:v>
                  </c:pt>
                  <c:pt idx="49">
                    <c:v>5</c:v>
                  </c:pt>
                  <c:pt idx="50">
                    <c:v>9</c:v>
                  </c:pt>
                  <c:pt idx="51">
                    <c:v>9</c:v>
                  </c:pt>
                  <c:pt idx="52">
                    <c:v>6</c:v>
                  </c:pt>
                  <c:pt idx="53">
                    <c:v>#N/A</c:v>
                  </c:pt>
                  <c:pt idx="54">
                    <c:v>10</c:v>
                  </c:pt>
                  <c:pt idx="55">
                    <c:v>9</c:v>
                  </c:pt>
                  <c:pt idx="56">
                    <c:v>8</c:v>
                  </c:pt>
                  <c:pt idx="57">
                    <c:v>4</c:v>
                  </c:pt>
                  <c:pt idx="58">
                    <c:v>9</c:v>
                  </c:pt>
                  <c:pt idx="59">
                    <c:v>8</c:v>
                  </c:pt>
                  <c:pt idx="60">
                    <c:v>10</c:v>
                  </c:pt>
                  <c:pt idx="61">
                    <c:v>8</c:v>
                  </c:pt>
                  <c:pt idx="62">
                    <c:v>7</c:v>
                  </c:pt>
                  <c:pt idx="63">
                    <c:v>12</c:v>
                  </c:pt>
                  <c:pt idx="64">
                    <c:v>9</c:v>
                  </c:pt>
                  <c:pt idx="65">
                    <c:v>9</c:v>
                  </c:pt>
                  <c:pt idx="66">
                    <c:v>11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'CEA Summary'!$AE$2:$AE$68</c:f>
              <c:strCache>
                <c:ptCount val="67"/>
                <c:pt idx="0">
                  <c:v>RCB</c:v>
                </c:pt>
                <c:pt idx="1">
                  <c:v>RVV</c:v>
                </c:pt>
                <c:pt idx="2">
                  <c:v>RDU</c:v>
                </c:pt>
                <c:pt idx="3">
                  <c:v>R1K</c:v>
                </c:pt>
                <c:pt idx="4">
                  <c:v>RWH</c:v>
                </c:pt>
                <c:pt idx="5">
                  <c:v>RYJ</c:v>
                </c:pt>
                <c:pt idx="6">
                  <c:v>RJ7</c:v>
                </c:pt>
                <c:pt idx="7">
                  <c:v>RTG</c:v>
                </c:pt>
                <c:pt idx="8">
                  <c:v>R0D</c:v>
                </c:pt>
                <c:pt idx="9">
                  <c:v>RWG</c:v>
                </c:pt>
                <c:pt idx="10">
                  <c:v>RWP</c:v>
                </c:pt>
                <c:pt idx="11">
                  <c:v>RM3</c:v>
                </c:pt>
                <c:pt idx="12">
                  <c:v>R1H</c:v>
                </c:pt>
                <c:pt idx="13">
                  <c:v>RR8</c:v>
                </c:pt>
                <c:pt idx="14">
                  <c:v>RNA</c:v>
                </c:pt>
                <c:pt idx="15">
                  <c:v>RWA</c:v>
                </c:pt>
                <c:pt idx="16">
                  <c:v>RVJ</c:v>
                </c:pt>
                <c:pt idx="17">
                  <c:v>SS999</c:v>
                </c:pt>
                <c:pt idx="18">
                  <c:v>RRK</c:v>
                </c:pt>
                <c:pt idx="19">
                  <c:v>SN999</c:v>
                </c:pt>
                <c:pt idx="20">
                  <c:v>RM1</c:v>
                </c:pt>
                <c:pt idx="21">
                  <c:v>RNN</c:v>
                </c:pt>
                <c:pt idx="22">
                  <c:v>RRV</c:v>
                </c:pt>
                <c:pt idx="23">
                  <c:v>RYR</c:v>
                </c:pt>
                <c:pt idx="24">
                  <c:v>RWE</c:v>
                </c:pt>
                <c:pt idx="25">
                  <c:v>7A6</c:v>
                </c:pt>
                <c:pt idx="26">
                  <c:v>7A3</c:v>
                </c:pt>
                <c:pt idx="27">
                  <c:v>RTR</c:v>
                </c:pt>
                <c:pt idx="28">
                  <c:v>RH8</c:v>
                </c:pt>
                <c:pt idx="29">
                  <c:v>SL999</c:v>
                </c:pt>
                <c:pt idx="30">
                  <c:v>RX1</c:v>
                </c:pt>
                <c:pt idx="31">
                  <c:v>RXR</c:v>
                </c:pt>
                <c:pt idx="32">
                  <c:v>RXW</c:v>
                </c:pt>
                <c:pt idx="33">
                  <c:v>RHM</c:v>
                </c:pt>
                <c:pt idx="34">
                  <c:v>RTH</c:v>
                </c:pt>
                <c:pt idx="35">
                  <c:v>RJE</c:v>
                </c:pt>
                <c:pt idx="36">
                  <c:v>SG999</c:v>
                </c:pt>
                <c:pt idx="37">
                  <c:v>RAJ</c:v>
                </c:pt>
                <c:pt idx="38">
                  <c:v>RP5</c:v>
                </c:pt>
                <c:pt idx="39">
                  <c:v>RKB</c:v>
                </c:pt>
                <c:pt idx="40">
                  <c:v>RTD</c:v>
                </c:pt>
                <c:pt idx="41">
                  <c:v>R0A</c:v>
                </c:pt>
                <c:pt idx="42">
                  <c:v>RJ1</c:v>
                </c:pt>
                <c:pt idx="43">
                  <c:v>7A1</c:v>
                </c:pt>
                <c:pt idx="44">
                  <c:v>RK9</c:v>
                </c:pt>
                <c:pt idx="45">
                  <c:v>RAE</c:v>
                </c:pt>
                <c:pt idx="46">
                  <c:v>ST999</c:v>
                </c:pt>
                <c:pt idx="47">
                  <c:v>R0B</c:v>
                </c:pt>
                <c:pt idx="48">
                  <c:v>REM</c:v>
                </c:pt>
                <c:pt idx="49">
                  <c:v>RDE</c:v>
                </c:pt>
                <c:pt idx="50">
                  <c:v>ZT001</c:v>
                </c:pt>
                <c:pt idx="51">
                  <c:v>SA999</c:v>
                </c:pt>
                <c:pt idx="52">
                  <c:v>REF</c:v>
                </c:pt>
                <c:pt idx="53">
                  <c:v>RBQ</c:v>
                </c:pt>
                <c:pt idx="54">
                  <c:v>RJZ</c:v>
                </c:pt>
                <c:pt idx="55">
                  <c:v>RF4</c:v>
                </c:pt>
                <c:pt idx="56">
                  <c:v>RAL</c:v>
                </c:pt>
                <c:pt idx="57">
                  <c:v>RJR</c:v>
                </c:pt>
                <c:pt idx="58">
                  <c:v>RWD</c:v>
                </c:pt>
                <c:pt idx="59">
                  <c:v>SH999</c:v>
                </c:pt>
                <c:pt idx="60">
                  <c:v>RH5</c:v>
                </c:pt>
                <c:pt idx="61">
                  <c:v>RXN</c:v>
                </c:pt>
                <c:pt idx="62">
                  <c:v>RC9</c:v>
                </c:pt>
                <c:pt idx="63">
                  <c:v>RNS</c:v>
                </c:pt>
                <c:pt idx="64">
                  <c:v>RTE</c:v>
                </c:pt>
                <c:pt idx="65">
                  <c:v>RHQ</c:v>
                </c:pt>
                <c:pt idx="66">
                  <c:v>RGT</c:v>
                </c:pt>
              </c:strCache>
            </c:strRef>
          </c:cat>
          <c:val>
            <c:numRef>
              <c:f>'CEA Summary'!$AH$2:$AH$68</c:f>
              <c:numCache>
                <c:formatCode>General</c:formatCode>
                <c:ptCount val="67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16</c:v>
                </c:pt>
                <c:pt idx="49">
                  <c:v>16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#N/A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19</c:v>
                </c:pt>
                <c:pt idx="59">
                  <c:v>19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22</c:v>
                </c:pt>
                <c:pt idx="64">
                  <c:v>22</c:v>
                </c:pt>
                <c:pt idx="65">
                  <c:v>23</c:v>
                </c:pt>
                <c:pt idx="6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Summary'!$AC$2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plus>
            <c:minus>
              <c:numRef>
                <c:f>'CEA Summary'!$AB$2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'CEA Summary'!$AD$2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'CEA Summary'!$AA$2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B-4779-A8DB-8B96D50AAEE2}"/>
            </c:ext>
          </c:extLst>
        </c:ser>
        <c:ser>
          <c:idx val="2"/>
          <c:order val="2"/>
          <c:tx>
            <c:v>NICE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'CEA Summary'!$AG$2:$AG$70</c:f>
              <c:numCache>
                <c:formatCode>General</c:formatCode>
                <c:ptCount val="6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</c:numCache>
            </c:numRef>
          </c:xVal>
          <c:yVal>
            <c:numRef>
              <c:f>'CEA Summary'!$AK$2:$AK$69</c:f>
              <c:numCache>
                <c:formatCode>General</c:formatCode>
                <c:ptCount val="68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#N/A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'CEA Funnel'!$C$1</c:f>
              <c:strCache>
                <c:ptCount val="1"/>
                <c:pt idx="0">
                  <c:v>Stroke/Death 30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'CEA Funnel'!$B$2:$B$71</c:f>
              <c:numCache>
                <c:formatCode>General</c:formatCode>
                <c:ptCount val="70"/>
                <c:pt idx="0">
                  <c:v>84</c:v>
                </c:pt>
                <c:pt idx="1">
                  <c:v>204</c:v>
                </c:pt>
                <c:pt idx="2">
                  <c:v>23</c:v>
                </c:pt>
                <c:pt idx="3">
                  <c:v>92</c:v>
                </c:pt>
                <c:pt idx="4">
                  <c:v>337</c:v>
                </c:pt>
                <c:pt idx="5">
                  <c:v>152</c:v>
                </c:pt>
                <c:pt idx="6">
                  <c:v>126</c:v>
                </c:pt>
                <c:pt idx="7">
                  <c:v>49</c:v>
                </c:pt>
                <c:pt idx="8">
                  <c:v>103</c:v>
                </c:pt>
                <c:pt idx="9">
                  <c:v>61</c:v>
                </c:pt>
                <c:pt idx="10">
                  <c:v>255</c:v>
                </c:pt>
                <c:pt idx="11">
                  <c:v>72</c:v>
                </c:pt>
                <c:pt idx="12">
                  <c:v>11</c:v>
                </c:pt>
                <c:pt idx="13">
                  <c:v>162</c:v>
                </c:pt>
                <c:pt idx="14">
                  <c:v>263</c:v>
                </c:pt>
                <c:pt idx="15">
                  <c:v>157</c:v>
                </c:pt>
                <c:pt idx="16">
                  <c:v>119</c:v>
                </c:pt>
                <c:pt idx="17">
                  <c:v>102</c:v>
                </c:pt>
                <c:pt idx="18">
                  <c:v>291</c:v>
                </c:pt>
                <c:pt idx="19">
                  <c:v>104</c:v>
                </c:pt>
                <c:pt idx="20">
                  <c:v>206</c:v>
                </c:pt>
                <c:pt idx="21">
                  <c:v>189</c:v>
                </c:pt>
                <c:pt idx="22">
                  <c:v>127</c:v>
                </c:pt>
                <c:pt idx="23">
                  <c:v>223</c:v>
                </c:pt>
                <c:pt idx="24">
                  <c:v>134</c:v>
                </c:pt>
                <c:pt idx="25">
                  <c:v>112</c:v>
                </c:pt>
                <c:pt idx="26">
                  <c:v>109</c:v>
                </c:pt>
                <c:pt idx="27">
                  <c:v>154</c:v>
                </c:pt>
                <c:pt idx="28">
                  <c:v>199</c:v>
                </c:pt>
                <c:pt idx="29">
                  <c:v>248</c:v>
                </c:pt>
                <c:pt idx="30">
                  <c:v>113</c:v>
                </c:pt>
                <c:pt idx="31">
                  <c:v>118</c:v>
                </c:pt>
                <c:pt idx="32">
                  <c:v>175</c:v>
                </c:pt>
                <c:pt idx="33">
                  <c:v>261</c:v>
                </c:pt>
                <c:pt idx="34">
                  <c:v>134</c:v>
                </c:pt>
                <c:pt idx="35">
                  <c:v>114</c:v>
                </c:pt>
                <c:pt idx="36">
                  <c:v>97</c:v>
                </c:pt>
                <c:pt idx="37">
                  <c:v>132</c:v>
                </c:pt>
                <c:pt idx="38">
                  <c:v>24</c:v>
                </c:pt>
                <c:pt idx="39">
                  <c:v>125</c:v>
                </c:pt>
                <c:pt idx="40">
                  <c:v>149</c:v>
                </c:pt>
                <c:pt idx="41">
                  <c:v>163</c:v>
                </c:pt>
                <c:pt idx="42">
                  <c:v>244</c:v>
                </c:pt>
                <c:pt idx="43">
                  <c:v>189</c:v>
                </c:pt>
                <c:pt idx="44">
                  <c:v>74</c:v>
                </c:pt>
                <c:pt idx="45">
                  <c:v>259</c:v>
                </c:pt>
                <c:pt idx="46">
                  <c:v>137</c:v>
                </c:pt>
                <c:pt idx="47">
                  <c:v>244</c:v>
                </c:pt>
                <c:pt idx="48">
                  <c:v>152</c:v>
                </c:pt>
                <c:pt idx="49">
                  <c:v>210</c:v>
                </c:pt>
                <c:pt idx="50">
                  <c:v>141</c:v>
                </c:pt>
                <c:pt idx="51">
                  <c:v>174</c:v>
                </c:pt>
                <c:pt idx="52">
                  <c:v>124</c:v>
                </c:pt>
                <c:pt idx="53">
                  <c:v>106</c:v>
                </c:pt>
                <c:pt idx="54">
                  <c:v>171</c:v>
                </c:pt>
                <c:pt idx="55">
                  <c:v>174</c:v>
                </c:pt>
                <c:pt idx="56">
                  <c:v>251</c:v>
                </c:pt>
                <c:pt idx="57">
                  <c:v>141</c:v>
                </c:pt>
                <c:pt idx="58">
                  <c:v>95</c:v>
                </c:pt>
                <c:pt idx="59">
                  <c:v>150</c:v>
                </c:pt>
                <c:pt idx="60">
                  <c:v>117</c:v>
                </c:pt>
                <c:pt idx="61">
                  <c:v>79</c:v>
                </c:pt>
                <c:pt idx="62">
                  <c:v>185</c:v>
                </c:pt>
                <c:pt idx="63">
                  <c:v>77</c:v>
                </c:pt>
                <c:pt idx="64">
                  <c:v>90</c:v>
                </c:pt>
                <c:pt idx="65">
                  <c:v>51</c:v>
                </c:pt>
                <c:pt idx="66">
                  <c:v>118</c:v>
                </c:pt>
                <c:pt idx="67">
                  <c:v>41</c:v>
                </c:pt>
                <c:pt idx="68">
                  <c:v>31</c:v>
                </c:pt>
                <c:pt idx="69">
                  <c:v>341</c:v>
                </c:pt>
              </c:numCache>
            </c:numRef>
          </c:xVal>
          <c:yVal>
            <c:numRef>
              <c:f>'CEA Funnel'!$C$2:$C$71</c:f>
              <c:numCache>
                <c:formatCode>0.0</c:formatCode>
                <c:ptCount val="70"/>
                <c:pt idx="0">
                  <c:v>2.6556220000000001</c:v>
                </c:pt>
                <c:pt idx="1">
                  <c:v>2.3179560000000001</c:v>
                </c:pt>
                <c:pt idx="2">
                  <c:v>3.9202840000000001</c:v>
                </c:pt>
                <c:pt idx="3">
                  <c:v>3.4673099999999999</c:v>
                </c:pt>
                <c:pt idx="4">
                  <c:v>2.6487259999999999</c:v>
                </c:pt>
                <c:pt idx="5">
                  <c:v>1.3174760000000001</c:v>
                </c:pt>
                <c:pt idx="6">
                  <c:v>0</c:v>
                </c:pt>
                <c:pt idx="7">
                  <c:v>7.5641860000000003</c:v>
                </c:pt>
                <c:pt idx="8">
                  <c:v>4.1193119999999999</c:v>
                </c:pt>
                <c:pt idx="9">
                  <c:v>1.5458620000000001</c:v>
                </c:pt>
                <c:pt idx="10">
                  <c:v>0.65829000000000004</c:v>
                </c:pt>
                <c:pt idx="11">
                  <c:v>1.9586950000000001</c:v>
                </c:pt>
                <c:pt idx="12">
                  <c:v>0</c:v>
                </c:pt>
                <c:pt idx="13">
                  <c:v>2.7495980000000002</c:v>
                </c:pt>
                <c:pt idx="14">
                  <c:v>2.7784309999999999</c:v>
                </c:pt>
                <c:pt idx="15">
                  <c:v>3.0275300000000001</c:v>
                </c:pt>
                <c:pt idx="16">
                  <c:v>3.7102759999999999</c:v>
                </c:pt>
                <c:pt idx="17">
                  <c:v>1.13723</c:v>
                </c:pt>
                <c:pt idx="18">
                  <c:v>0.98101660000000002</c:v>
                </c:pt>
                <c:pt idx="19">
                  <c:v>2.0990530000000001</c:v>
                </c:pt>
                <c:pt idx="20">
                  <c:v>1.0631550000000001</c:v>
                </c:pt>
                <c:pt idx="21">
                  <c:v>3.1253950000000001</c:v>
                </c:pt>
                <c:pt idx="22">
                  <c:v>0.82623880000000005</c:v>
                </c:pt>
                <c:pt idx="23">
                  <c:v>1.4615340000000001</c:v>
                </c:pt>
                <c:pt idx="24">
                  <c:v>0</c:v>
                </c:pt>
                <c:pt idx="25">
                  <c:v>3.5766100000000001</c:v>
                </c:pt>
                <c:pt idx="26">
                  <c:v>1.863977</c:v>
                </c:pt>
                <c:pt idx="27">
                  <c:v>3.3486549999999999</c:v>
                </c:pt>
                <c:pt idx="28">
                  <c:v>1.1826019999999999</c:v>
                </c:pt>
                <c:pt idx="29">
                  <c:v>1.604722</c:v>
                </c:pt>
                <c:pt idx="30">
                  <c:v>0.86839049999999995</c:v>
                </c:pt>
                <c:pt idx="31">
                  <c:v>2.885599</c:v>
                </c:pt>
                <c:pt idx="32">
                  <c:v>4.7986709999999997</c:v>
                </c:pt>
                <c:pt idx="33">
                  <c:v>2.066576</c:v>
                </c:pt>
                <c:pt idx="34">
                  <c:v>2.6948050000000001</c:v>
                </c:pt>
                <c:pt idx="35">
                  <c:v>0.7603664</c:v>
                </c:pt>
                <c:pt idx="36">
                  <c:v>2.379556</c:v>
                </c:pt>
                <c:pt idx="37">
                  <c:v>0.75832889999999997</c:v>
                </c:pt>
                <c:pt idx="38">
                  <c:v>5.2279910000000003</c:v>
                </c:pt>
                <c:pt idx="39">
                  <c:v>3.7735240000000001</c:v>
                </c:pt>
                <c:pt idx="40">
                  <c:v>1.684312</c:v>
                </c:pt>
                <c:pt idx="41">
                  <c:v>1.6392610000000001</c:v>
                </c:pt>
                <c:pt idx="42">
                  <c:v>2.615135</c:v>
                </c:pt>
                <c:pt idx="43">
                  <c:v>1.1565780000000001</c:v>
                </c:pt>
                <c:pt idx="44">
                  <c:v>1.4702219999999999</c:v>
                </c:pt>
                <c:pt idx="45">
                  <c:v>2.6592030000000002</c:v>
                </c:pt>
                <c:pt idx="46">
                  <c:v>0.59422140000000001</c:v>
                </c:pt>
                <c:pt idx="47">
                  <c:v>3.1009150000000001</c:v>
                </c:pt>
                <c:pt idx="48">
                  <c:v>2.145562</c:v>
                </c:pt>
                <c:pt idx="49">
                  <c:v>5.0307769999999996</c:v>
                </c:pt>
                <c:pt idx="50">
                  <c:v>2.685619</c:v>
                </c:pt>
                <c:pt idx="51">
                  <c:v>0</c:v>
                </c:pt>
                <c:pt idx="52">
                  <c:v>3.5389409999999999</c:v>
                </c:pt>
                <c:pt idx="53">
                  <c:v>2.6332740000000001</c:v>
                </c:pt>
                <c:pt idx="54">
                  <c:v>1.724426</c:v>
                </c:pt>
                <c:pt idx="55">
                  <c:v>1.427495</c:v>
                </c:pt>
                <c:pt idx="56">
                  <c:v>1.4810449999999999</c:v>
                </c:pt>
                <c:pt idx="57">
                  <c:v>4.0935969999999999</c:v>
                </c:pt>
                <c:pt idx="58">
                  <c:v>4.8451500000000003</c:v>
                </c:pt>
                <c:pt idx="59">
                  <c:v>3.511037</c:v>
                </c:pt>
                <c:pt idx="60">
                  <c:v>3.186258</c:v>
                </c:pt>
                <c:pt idx="61">
                  <c:v>5.0290879999999998</c:v>
                </c:pt>
                <c:pt idx="62">
                  <c:v>0.69314759999999997</c:v>
                </c:pt>
                <c:pt idx="63">
                  <c:v>0</c:v>
                </c:pt>
                <c:pt idx="64">
                  <c:v>1.7063759999999999</c:v>
                </c:pt>
                <c:pt idx="65">
                  <c:v>1.893383</c:v>
                </c:pt>
                <c:pt idx="66">
                  <c:v>1.7711950000000001</c:v>
                </c:pt>
                <c:pt idx="67">
                  <c:v>3.050808</c:v>
                </c:pt>
                <c:pt idx="68">
                  <c:v>0</c:v>
                </c:pt>
                <c:pt idx="69">
                  <c:v>3.1522589999999999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C-44A6-A196-2D3C440F0395}"/>
            </c:ext>
          </c:extLst>
        </c:ser>
        <c:ser>
          <c:idx val="1"/>
          <c:order val="1"/>
          <c:tx>
            <c:v>National Rate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'CEA Limits'!$B$2:$B$71</c:f>
              <c:numCache>
                <c:formatCode>General</c:formatCode>
                <c:ptCount val="70"/>
                <c:pt idx="0">
                  <c:v>0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31</c:v>
                </c:pt>
                <c:pt idx="8">
                  <c:v>41</c:v>
                </c:pt>
                <c:pt idx="9">
                  <c:v>45</c:v>
                </c:pt>
                <c:pt idx="10">
                  <c:v>49</c:v>
                </c:pt>
                <c:pt idx="11">
                  <c:v>51</c:v>
                </c:pt>
                <c:pt idx="12">
                  <c:v>53</c:v>
                </c:pt>
                <c:pt idx="13">
                  <c:v>61</c:v>
                </c:pt>
                <c:pt idx="14">
                  <c:v>72</c:v>
                </c:pt>
                <c:pt idx="15">
                  <c:v>74</c:v>
                </c:pt>
                <c:pt idx="16">
                  <c:v>77</c:v>
                </c:pt>
                <c:pt idx="17">
                  <c:v>79</c:v>
                </c:pt>
                <c:pt idx="18">
                  <c:v>84</c:v>
                </c:pt>
                <c:pt idx="19">
                  <c:v>90</c:v>
                </c:pt>
                <c:pt idx="20">
                  <c:v>92</c:v>
                </c:pt>
                <c:pt idx="21">
                  <c:v>95</c:v>
                </c:pt>
                <c:pt idx="22">
                  <c:v>97</c:v>
                </c:pt>
                <c:pt idx="23">
                  <c:v>102</c:v>
                </c:pt>
                <c:pt idx="24">
                  <c:v>103</c:v>
                </c:pt>
                <c:pt idx="25">
                  <c:v>104</c:v>
                </c:pt>
                <c:pt idx="26">
                  <c:v>106</c:v>
                </c:pt>
                <c:pt idx="27">
                  <c:v>109</c:v>
                </c:pt>
                <c:pt idx="28">
                  <c:v>112</c:v>
                </c:pt>
                <c:pt idx="29">
                  <c:v>113</c:v>
                </c:pt>
                <c:pt idx="30">
                  <c:v>114</c:v>
                </c:pt>
                <c:pt idx="31">
                  <c:v>117</c:v>
                </c:pt>
                <c:pt idx="32">
                  <c:v>118</c:v>
                </c:pt>
                <c:pt idx="33">
                  <c:v>119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132</c:v>
                </c:pt>
                <c:pt idx="39">
                  <c:v>134</c:v>
                </c:pt>
                <c:pt idx="40">
                  <c:v>137</c:v>
                </c:pt>
                <c:pt idx="41">
                  <c:v>141</c:v>
                </c:pt>
                <c:pt idx="42">
                  <c:v>149</c:v>
                </c:pt>
                <c:pt idx="43">
                  <c:v>150</c:v>
                </c:pt>
                <c:pt idx="44">
                  <c:v>152</c:v>
                </c:pt>
                <c:pt idx="45">
                  <c:v>154</c:v>
                </c:pt>
                <c:pt idx="46">
                  <c:v>157</c:v>
                </c:pt>
                <c:pt idx="47">
                  <c:v>162</c:v>
                </c:pt>
                <c:pt idx="48">
                  <c:v>163</c:v>
                </c:pt>
                <c:pt idx="49">
                  <c:v>171</c:v>
                </c:pt>
                <c:pt idx="50">
                  <c:v>174</c:v>
                </c:pt>
                <c:pt idx="51">
                  <c:v>175</c:v>
                </c:pt>
                <c:pt idx="52">
                  <c:v>185</c:v>
                </c:pt>
                <c:pt idx="53">
                  <c:v>189</c:v>
                </c:pt>
                <c:pt idx="54">
                  <c:v>199</c:v>
                </c:pt>
                <c:pt idx="55">
                  <c:v>204</c:v>
                </c:pt>
                <c:pt idx="56">
                  <c:v>206</c:v>
                </c:pt>
                <c:pt idx="57">
                  <c:v>210</c:v>
                </c:pt>
                <c:pt idx="58">
                  <c:v>223</c:v>
                </c:pt>
                <c:pt idx="59">
                  <c:v>244</c:v>
                </c:pt>
                <c:pt idx="60">
                  <c:v>248</c:v>
                </c:pt>
                <c:pt idx="61">
                  <c:v>251</c:v>
                </c:pt>
                <c:pt idx="62">
                  <c:v>255</c:v>
                </c:pt>
                <c:pt idx="63">
                  <c:v>259</c:v>
                </c:pt>
                <c:pt idx="64">
                  <c:v>261</c:v>
                </c:pt>
                <c:pt idx="65">
                  <c:v>263</c:v>
                </c:pt>
                <c:pt idx="66">
                  <c:v>291</c:v>
                </c:pt>
                <c:pt idx="67">
                  <c:v>337</c:v>
                </c:pt>
                <c:pt idx="68">
                  <c:v>341</c:v>
                </c:pt>
                <c:pt idx="69">
                  <c:v>350</c:v>
                </c:pt>
              </c:numCache>
            </c:numRef>
          </c:xVal>
          <c:yVal>
            <c:numRef>
              <c:f>'CEA Limits'!$D$2:$D$71</c:f>
              <c:numCache>
                <c:formatCode>General</c:formatCode>
                <c:ptCount val="70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2.2000000000000002</c:v>
                </c:pt>
                <c:pt idx="28">
                  <c:v>2.2000000000000002</c:v>
                </c:pt>
                <c:pt idx="29">
                  <c:v>2.2000000000000002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2.2000000000000002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2.2000000000000002</c:v>
                </c:pt>
                <c:pt idx="37">
                  <c:v>2.2000000000000002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2.2000000000000002</c:v>
                </c:pt>
                <c:pt idx="45">
                  <c:v>2.2000000000000002</c:v>
                </c:pt>
                <c:pt idx="46">
                  <c:v>2.2000000000000002</c:v>
                </c:pt>
                <c:pt idx="47">
                  <c:v>2.2000000000000002</c:v>
                </c:pt>
                <c:pt idx="48">
                  <c:v>2.2000000000000002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2.2000000000000002</c:v>
                </c:pt>
                <c:pt idx="53">
                  <c:v>2.2000000000000002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2.2000000000000002</c:v>
                </c:pt>
                <c:pt idx="67">
                  <c:v>2.2000000000000002</c:v>
                </c:pt>
                <c:pt idx="68">
                  <c:v>2.2000000000000002</c:v>
                </c:pt>
                <c:pt idx="69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C-44A6-A196-2D3C440F039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'CEA Limits'!$B$2:$B$71</c:f>
              <c:numCache>
                <c:formatCode>General</c:formatCode>
                <c:ptCount val="70"/>
                <c:pt idx="0">
                  <c:v>0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31</c:v>
                </c:pt>
                <c:pt idx="8">
                  <c:v>41</c:v>
                </c:pt>
                <c:pt idx="9">
                  <c:v>45</c:v>
                </c:pt>
                <c:pt idx="10">
                  <c:v>49</c:v>
                </c:pt>
                <c:pt idx="11">
                  <c:v>51</c:v>
                </c:pt>
                <c:pt idx="12">
                  <c:v>53</c:v>
                </c:pt>
                <c:pt idx="13">
                  <c:v>61</c:v>
                </c:pt>
                <c:pt idx="14">
                  <c:v>72</c:v>
                </c:pt>
                <c:pt idx="15">
                  <c:v>74</c:v>
                </c:pt>
                <c:pt idx="16">
                  <c:v>77</c:v>
                </c:pt>
                <c:pt idx="17">
                  <c:v>79</c:v>
                </c:pt>
                <c:pt idx="18">
                  <c:v>84</c:v>
                </c:pt>
                <c:pt idx="19">
                  <c:v>90</c:v>
                </c:pt>
                <c:pt idx="20">
                  <c:v>92</c:v>
                </c:pt>
                <c:pt idx="21">
                  <c:v>95</c:v>
                </c:pt>
                <c:pt idx="22">
                  <c:v>97</c:v>
                </c:pt>
                <c:pt idx="23">
                  <c:v>102</c:v>
                </c:pt>
                <c:pt idx="24">
                  <c:v>103</c:v>
                </c:pt>
                <c:pt idx="25">
                  <c:v>104</c:v>
                </c:pt>
                <c:pt idx="26">
                  <c:v>106</c:v>
                </c:pt>
                <c:pt idx="27">
                  <c:v>109</c:v>
                </c:pt>
                <c:pt idx="28">
                  <c:v>112</c:v>
                </c:pt>
                <c:pt idx="29">
                  <c:v>113</c:v>
                </c:pt>
                <c:pt idx="30">
                  <c:v>114</c:v>
                </c:pt>
                <c:pt idx="31">
                  <c:v>117</c:v>
                </c:pt>
                <c:pt idx="32">
                  <c:v>118</c:v>
                </c:pt>
                <c:pt idx="33">
                  <c:v>119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132</c:v>
                </c:pt>
                <c:pt idx="39">
                  <c:v>134</c:v>
                </c:pt>
                <c:pt idx="40">
                  <c:v>137</c:v>
                </c:pt>
                <c:pt idx="41">
                  <c:v>141</c:v>
                </c:pt>
                <c:pt idx="42">
                  <c:v>149</c:v>
                </c:pt>
                <c:pt idx="43">
                  <c:v>150</c:v>
                </c:pt>
                <c:pt idx="44">
                  <c:v>152</c:v>
                </c:pt>
                <c:pt idx="45">
                  <c:v>154</c:v>
                </c:pt>
                <c:pt idx="46">
                  <c:v>157</c:v>
                </c:pt>
                <c:pt idx="47">
                  <c:v>162</c:v>
                </c:pt>
                <c:pt idx="48">
                  <c:v>163</c:v>
                </c:pt>
                <c:pt idx="49">
                  <c:v>171</c:v>
                </c:pt>
                <c:pt idx="50">
                  <c:v>174</c:v>
                </c:pt>
                <c:pt idx="51">
                  <c:v>175</c:v>
                </c:pt>
                <c:pt idx="52">
                  <c:v>185</c:v>
                </c:pt>
                <c:pt idx="53">
                  <c:v>189</c:v>
                </c:pt>
                <c:pt idx="54">
                  <c:v>199</c:v>
                </c:pt>
                <c:pt idx="55">
                  <c:v>204</c:v>
                </c:pt>
                <c:pt idx="56">
                  <c:v>206</c:v>
                </c:pt>
                <c:pt idx="57">
                  <c:v>210</c:v>
                </c:pt>
                <c:pt idx="58">
                  <c:v>223</c:v>
                </c:pt>
                <c:pt idx="59">
                  <c:v>244</c:v>
                </c:pt>
                <c:pt idx="60">
                  <c:v>248</c:v>
                </c:pt>
                <c:pt idx="61">
                  <c:v>251</c:v>
                </c:pt>
                <c:pt idx="62">
                  <c:v>255</c:v>
                </c:pt>
                <c:pt idx="63">
                  <c:v>259</c:v>
                </c:pt>
                <c:pt idx="64">
                  <c:v>261</c:v>
                </c:pt>
                <c:pt idx="65">
                  <c:v>263</c:v>
                </c:pt>
                <c:pt idx="66">
                  <c:v>291</c:v>
                </c:pt>
                <c:pt idx="67">
                  <c:v>337</c:v>
                </c:pt>
                <c:pt idx="68">
                  <c:v>341</c:v>
                </c:pt>
                <c:pt idx="69">
                  <c:v>350</c:v>
                </c:pt>
              </c:numCache>
            </c:numRef>
          </c:xVal>
          <c:yVal>
            <c:numRef>
              <c:f>'CEA Limits'!$C$2:$C$71</c:f>
              <c:numCache>
                <c:formatCode>General</c:formatCode>
                <c:ptCount val="70"/>
                <c:pt idx="0">
                  <c:v>60</c:v>
                </c:pt>
                <c:pt idx="1">
                  <c:v>48.07414</c:v>
                </c:pt>
                <c:pt idx="2">
                  <c:v>30.8538</c:v>
                </c:pt>
                <c:pt idx="3">
                  <c:v>24.143509999999999</c:v>
                </c:pt>
                <c:pt idx="4">
                  <c:v>19.103899999999999</c:v>
                </c:pt>
                <c:pt idx="5">
                  <c:v>18.76003</c:v>
                </c:pt>
                <c:pt idx="6">
                  <c:v>18.366620000000001</c:v>
                </c:pt>
                <c:pt idx="7">
                  <c:v>15.809139999999999</c:v>
                </c:pt>
                <c:pt idx="8">
                  <c:v>13.685219999999999</c:v>
                </c:pt>
                <c:pt idx="9">
                  <c:v>12.90912</c:v>
                </c:pt>
                <c:pt idx="10">
                  <c:v>12.118840000000001</c:v>
                </c:pt>
                <c:pt idx="11">
                  <c:v>11.739380000000001</c:v>
                </c:pt>
                <c:pt idx="12">
                  <c:v>11.617509999999999</c:v>
                </c:pt>
                <c:pt idx="13">
                  <c:v>10.99455</c:v>
                </c:pt>
                <c:pt idx="14">
                  <c:v>9.9342369999999995</c:v>
                </c:pt>
                <c:pt idx="15">
                  <c:v>9.8839500000000005</c:v>
                </c:pt>
                <c:pt idx="16">
                  <c:v>9.7515269999999994</c:v>
                </c:pt>
                <c:pt idx="17">
                  <c:v>9.6376570000000008</c:v>
                </c:pt>
                <c:pt idx="18">
                  <c:v>9.3038620000000005</c:v>
                </c:pt>
                <c:pt idx="19">
                  <c:v>8.8676410000000008</c:v>
                </c:pt>
                <c:pt idx="20">
                  <c:v>8.8029410000000006</c:v>
                </c:pt>
                <c:pt idx="21">
                  <c:v>8.7581179999999996</c:v>
                </c:pt>
                <c:pt idx="22">
                  <c:v>8.7035400000000003</c:v>
                </c:pt>
                <c:pt idx="23">
                  <c:v>8.5118989999999997</c:v>
                </c:pt>
                <c:pt idx="24">
                  <c:v>8.4671719999999997</c:v>
                </c:pt>
                <c:pt idx="25">
                  <c:v>8.4209899999999998</c:v>
                </c:pt>
                <c:pt idx="26">
                  <c:v>8.3251500000000007</c:v>
                </c:pt>
                <c:pt idx="27">
                  <c:v>8.1754090000000001</c:v>
                </c:pt>
                <c:pt idx="28">
                  <c:v>8.0218469999999993</c:v>
                </c:pt>
                <c:pt idx="29">
                  <c:v>7.9860300000000004</c:v>
                </c:pt>
                <c:pt idx="30">
                  <c:v>7.9839989999999998</c:v>
                </c:pt>
                <c:pt idx="31">
                  <c:v>7.9532870000000004</c:v>
                </c:pt>
                <c:pt idx="32">
                  <c:v>7.936242</c:v>
                </c:pt>
                <c:pt idx="33">
                  <c:v>7.916391</c:v>
                </c:pt>
                <c:pt idx="34">
                  <c:v>7.7847330000000001</c:v>
                </c:pt>
                <c:pt idx="35">
                  <c:v>7.7535049999999996</c:v>
                </c:pt>
                <c:pt idx="36">
                  <c:v>7.7210760000000001</c:v>
                </c:pt>
                <c:pt idx="37">
                  <c:v>7.6875929999999997</c:v>
                </c:pt>
                <c:pt idx="38">
                  <c:v>7.5086969999999997</c:v>
                </c:pt>
                <c:pt idx="39">
                  <c:v>7.433624</c:v>
                </c:pt>
                <c:pt idx="40">
                  <c:v>7.3672399999999998</c:v>
                </c:pt>
                <c:pt idx="41">
                  <c:v>7.3343970000000001</c:v>
                </c:pt>
                <c:pt idx="42">
                  <c:v>7.1802200000000003</c:v>
                </c:pt>
                <c:pt idx="43">
                  <c:v>7.155672</c:v>
                </c:pt>
                <c:pt idx="44">
                  <c:v>7.104266</c:v>
                </c:pt>
                <c:pt idx="45">
                  <c:v>7.050325</c:v>
                </c:pt>
                <c:pt idx="46">
                  <c:v>6.965865</c:v>
                </c:pt>
                <c:pt idx="47">
                  <c:v>6.8822700000000001</c:v>
                </c:pt>
                <c:pt idx="48">
                  <c:v>6.8772180000000001</c:v>
                </c:pt>
                <c:pt idx="49">
                  <c:v>6.7819039999999999</c:v>
                </c:pt>
                <c:pt idx="50">
                  <c:v>6.7284079999999999</c:v>
                </c:pt>
                <c:pt idx="51">
                  <c:v>6.7091159999999999</c:v>
                </c:pt>
                <c:pt idx="52">
                  <c:v>6.4986329999999999</c:v>
                </c:pt>
                <c:pt idx="53">
                  <c:v>6.4862489999999999</c:v>
                </c:pt>
                <c:pt idx="54">
                  <c:v>6.3761850000000004</c:v>
                </c:pt>
                <c:pt idx="55">
                  <c:v>6.2955550000000002</c:v>
                </c:pt>
                <c:pt idx="56">
                  <c:v>6.26044</c:v>
                </c:pt>
                <c:pt idx="57">
                  <c:v>6.1867510000000001</c:v>
                </c:pt>
                <c:pt idx="58">
                  <c:v>6.1030189999999997</c:v>
                </c:pt>
                <c:pt idx="59">
                  <c:v>5.89194</c:v>
                </c:pt>
                <c:pt idx="60">
                  <c:v>5.8634919999999999</c:v>
                </c:pt>
                <c:pt idx="61">
                  <c:v>5.8365299999999998</c:v>
                </c:pt>
                <c:pt idx="62">
                  <c:v>5.7947280000000001</c:v>
                </c:pt>
                <c:pt idx="63">
                  <c:v>5.7477450000000001</c:v>
                </c:pt>
                <c:pt idx="64">
                  <c:v>5.7227329999999998</c:v>
                </c:pt>
                <c:pt idx="65">
                  <c:v>5.696898</c:v>
                </c:pt>
                <c:pt idx="66">
                  <c:v>5.4955340000000001</c:v>
                </c:pt>
                <c:pt idx="67">
                  <c:v>5.256437</c:v>
                </c:pt>
                <c:pt idx="68">
                  <c:v>5.228275</c:v>
                </c:pt>
                <c:pt idx="69">
                  <c:v>5.1711479999999996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C-44A6-A196-2D3C440F0395}"/>
            </c:ext>
          </c:extLst>
        </c:ser>
        <c:ser>
          <c:idx val="3"/>
          <c:order val="3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'CEA Summary'!$AL$2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'CEA Summary'!$AM$2</c:f>
              <c:numCache>
                <c:formatCode>General</c:formatCode>
                <c:ptCount val="1"/>
                <c:pt idx="0">
                  <c:v>3.4673099999999999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C-44A6-A196-2D3C440F0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3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30 day deaths/strokes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National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cat>
          <c:val>
            <c:numRef>
              <c:f>'CEA Summary'!$F$30:$H$30</c:f>
              <c:numCache>
                <c:formatCode>0%</c:formatCode>
                <c:ptCount val="3"/>
                <c:pt idx="0">
                  <c:v>0.73</c:v>
                </c:pt>
                <c:pt idx="1">
                  <c:v>0.47</c:v>
                </c:pt>
                <c:pt idx="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5-4D6C-8572-5F8BFEFD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389960"/>
        <c:axId val="406391600"/>
      </c:barChart>
      <c:scatterChart>
        <c:scatterStyle val="lineMarker"/>
        <c:varyColors val="0"/>
        <c:ser>
          <c:idx val="0"/>
          <c:order val="0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xVal>
          <c:yVal>
            <c:numRef>
              <c:f>'CEA Summary'!$F$29:$H$29</c:f>
              <c:numCache>
                <c:formatCode>0%</c:formatCode>
                <c:ptCount val="3"/>
                <c:pt idx="0">
                  <c:v>0.66666669999999995</c:v>
                </c:pt>
                <c:pt idx="1">
                  <c:v>0.75</c:v>
                </c:pt>
                <c:pt idx="2">
                  <c:v>0.625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35-4D6C-8572-5F8BFEFD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89960"/>
        <c:axId val="406391600"/>
      </c:scatterChart>
      <c:catAx>
        <c:axId val="40638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91600"/>
        <c:crosses val="autoZero"/>
        <c:auto val="1"/>
        <c:lblAlgn val="ctr"/>
        <c:lblOffset val="100"/>
        <c:noMultiLvlLbl val="0"/>
      </c:catAx>
      <c:valAx>
        <c:axId val="4063916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8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63201564547166"/>
          <c:y val="1.9858157506982929E-2"/>
          <c:w val="0.643032505177067"/>
          <c:h val="5.5851458897001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'AAA Funnel'!$C$1</c:f>
              <c:strCache>
                <c:ptCount val="1"/>
                <c:pt idx="0">
                  <c:v>Mortality Rate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'AAA Funnel'!$B$2:$B$71</c:f>
              <c:numCache>
                <c:formatCode>General</c:formatCode>
                <c:ptCount val="70"/>
                <c:pt idx="0">
                  <c:v>127</c:v>
                </c:pt>
                <c:pt idx="1">
                  <c:v>129</c:v>
                </c:pt>
                <c:pt idx="2">
                  <c:v>50</c:v>
                </c:pt>
                <c:pt idx="3">
                  <c:v>81</c:v>
                </c:pt>
                <c:pt idx="4">
                  <c:v>212</c:v>
                </c:pt>
                <c:pt idx="5">
                  <c:v>140</c:v>
                </c:pt>
                <c:pt idx="6">
                  <c:v>176</c:v>
                </c:pt>
                <c:pt idx="7">
                  <c:v>51</c:v>
                </c:pt>
                <c:pt idx="8">
                  <c:v>33</c:v>
                </c:pt>
                <c:pt idx="9">
                  <c:v>28</c:v>
                </c:pt>
                <c:pt idx="10">
                  <c:v>68</c:v>
                </c:pt>
                <c:pt idx="11">
                  <c:v>193</c:v>
                </c:pt>
                <c:pt idx="12">
                  <c:v>99</c:v>
                </c:pt>
                <c:pt idx="13">
                  <c:v>16</c:v>
                </c:pt>
                <c:pt idx="14">
                  <c:v>147</c:v>
                </c:pt>
                <c:pt idx="15">
                  <c:v>141</c:v>
                </c:pt>
                <c:pt idx="16">
                  <c:v>155</c:v>
                </c:pt>
                <c:pt idx="17">
                  <c:v>125</c:v>
                </c:pt>
                <c:pt idx="18">
                  <c:v>47</c:v>
                </c:pt>
                <c:pt idx="19">
                  <c:v>175</c:v>
                </c:pt>
                <c:pt idx="20">
                  <c:v>56</c:v>
                </c:pt>
                <c:pt idx="21">
                  <c:v>222</c:v>
                </c:pt>
                <c:pt idx="22">
                  <c:v>160</c:v>
                </c:pt>
                <c:pt idx="23">
                  <c:v>93</c:v>
                </c:pt>
                <c:pt idx="24">
                  <c:v>222</c:v>
                </c:pt>
                <c:pt idx="25">
                  <c:v>124</c:v>
                </c:pt>
                <c:pt idx="26">
                  <c:v>214</c:v>
                </c:pt>
                <c:pt idx="27">
                  <c:v>143</c:v>
                </c:pt>
                <c:pt idx="28">
                  <c:v>277</c:v>
                </c:pt>
                <c:pt idx="29">
                  <c:v>166</c:v>
                </c:pt>
                <c:pt idx="30">
                  <c:v>6</c:v>
                </c:pt>
                <c:pt idx="31">
                  <c:v>96</c:v>
                </c:pt>
                <c:pt idx="32">
                  <c:v>141</c:v>
                </c:pt>
                <c:pt idx="33">
                  <c:v>199</c:v>
                </c:pt>
                <c:pt idx="34">
                  <c:v>154</c:v>
                </c:pt>
                <c:pt idx="35">
                  <c:v>122</c:v>
                </c:pt>
                <c:pt idx="36">
                  <c:v>65</c:v>
                </c:pt>
                <c:pt idx="37">
                  <c:v>101</c:v>
                </c:pt>
                <c:pt idx="38">
                  <c:v>76</c:v>
                </c:pt>
                <c:pt idx="39">
                  <c:v>34</c:v>
                </c:pt>
                <c:pt idx="40">
                  <c:v>97</c:v>
                </c:pt>
                <c:pt idx="41">
                  <c:v>150</c:v>
                </c:pt>
                <c:pt idx="42">
                  <c:v>16</c:v>
                </c:pt>
                <c:pt idx="43">
                  <c:v>210</c:v>
                </c:pt>
                <c:pt idx="44">
                  <c:v>166</c:v>
                </c:pt>
                <c:pt idx="45">
                  <c:v>126</c:v>
                </c:pt>
                <c:pt idx="46">
                  <c:v>196</c:v>
                </c:pt>
                <c:pt idx="47">
                  <c:v>111</c:v>
                </c:pt>
                <c:pt idx="48">
                  <c:v>124</c:v>
                </c:pt>
                <c:pt idx="49">
                  <c:v>125</c:v>
                </c:pt>
                <c:pt idx="50">
                  <c:v>110</c:v>
                </c:pt>
                <c:pt idx="51">
                  <c:v>108</c:v>
                </c:pt>
                <c:pt idx="52">
                  <c:v>139</c:v>
                </c:pt>
                <c:pt idx="53">
                  <c:v>73</c:v>
                </c:pt>
                <c:pt idx="54">
                  <c:v>52</c:v>
                </c:pt>
                <c:pt idx="55">
                  <c:v>176</c:v>
                </c:pt>
                <c:pt idx="56">
                  <c:v>127</c:v>
                </c:pt>
                <c:pt idx="57">
                  <c:v>227</c:v>
                </c:pt>
                <c:pt idx="58">
                  <c:v>76</c:v>
                </c:pt>
                <c:pt idx="59">
                  <c:v>90</c:v>
                </c:pt>
                <c:pt idx="60">
                  <c:v>108</c:v>
                </c:pt>
                <c:pt idx="61">
                  <c:v>188</c:v>
                </c:pt>
                <c:pt idx="62">
                  <c:v>12</c:v>
                </c:pt>
                <c:pt idx="63">
                  <c:v>118</c:v>
                </c:pt>
                <c:pt idx="64">
                  <c:v>52</c:v>
                </c:pt>
                <c:pt idx="65">
                  <c:v>112</c:v>
                </c:pt>
                <c:pt idx="66">
                  <c:v>54</c:v>
                </c:pt>
                <c:pt idx="67">
                  <c:v>103</c:v>
                </c:pt>
                <c:pt idx="68">
                  <c:v>40</c:v>
                </c:pt>
                <c:pt idx="69">
                  <c:v>281</c:v>
                </c:pt>
              </c:numCache>
            </c:numRef>
          </c:xVal>
          <c:yVal>
            <c:numRef>
              <c:f>'AAA Funnel'!$C$2:$C$71</c:f>
              <c:numCache>
                <c:formatCode>0.0</c:formatCode>
                <c:ptCount val="70"/>
                <c:pt idx="0">
                  <c:v>4.4191940000000001</c:v>
                </c:pt>
                <c:pt idx="1">
                  <c:v>4.7530359999999998</c:v>
                </c:pt>
                <c:pt idx="2">
                  <c:v>2.3157890000000001</c:v>
                </c:pt>
                <c:pt idx="3">
                  <c:v>2.640784</c:v>
                </c:pt>
                <c:pt idx="4">
                  <c:v>0</c:v>
                </c:pt>
                <c:pt idx="5">
                  <c:v>1.3910690000000001</c:v>
                </c:pt>
                <c:pt idx="6">
                  <c:v>0.59011040000000003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0.54935750000000005</c:v>
                </c:pt>
                <c:pt idx="12">
                  <c:v>1.0550889999999999</c:v>
                </c:pt>
                <c:pt idx="13">
                  <c:v>0</c:v>
                </c:pt>
                <c:pt idx="14">
                  <c:v>2.6406369999999999</c:v>
                </c:pt>
                <c:pt idx="15">
                  <c:v>2.026567</c:v>
                </c:pt>
                <c:pt idx="16">
                  <c:v>2.0550459999999999</c:v>
                </c:pt>
                <c:pt idx="17">
                  <c:v>1.8402559999999999</c:v>
                </c:pt>
                <c:pt idx="18">
                  <c:v>0</c:v>
                </c:pt>
                <c:pt idx="19">
                  <c:v>1.1079289999999999</c:v>
                </c:pt>
                <c:pt idx="20">
                  <c:v>5.1199409999999999</c:v>
                </c:pt>
                <c:pt idx="21">
                  <c:v>0</c:v>
                </c:pt>
                <c:pt idx="22">
                  <c:v>1.2638879999999999</c:v>
                </c:pt>
                <c:pt idx="23">
                  <c:v>3.6351059999999999</c:v>
                </c:pt>
                <c:pt idx="24">
                  <c:v>0.92936470000000004</c:v>
                </c:pt>
                <c:pt idx="25">
                  <c:v>2.166204</c:v>
                </c:pt>
                <c:pt idx="26">
                  <c:v>0.48343849999999999</c:v>
                </c:pt>
                <c:pt idx="27">
                  <c:v>0</c:v>
                </c:pt>
                <c:pt idx="28">
                  <c:v>2.3698299999999999</c:v>
                </c:pt>
                <c:pt idx="29">
                  <c:v>2.3570229999999999</c:v>
                </c:pt>
                <c:pt idx="30">
                  <c:v>0</c:v>
                </c:pt>
                <c:pt idx="31">
                  <c:v>0.95330250000000005</c:v>
                </c:pt>
                <c:pt idx="32">
                  <c:v>0.75126139999999997</c:v>
                </c:pt>
                <c:pt idx="33">
                  <c:v>0.96944390000000003</c:v>
                </c:pt>
                <c:pt idx="34">
                  <c:v>1.229759</c:v>
                </c:pt>
                <c:pt idx="35">
                  <c:v>0</c:v>
                </c:pt>
                <c:pt idx="36">
                  <c:v>1.5082450000000001</c:v>
                </c:pt>
                <c:pt idx="37">
                  <c:v>1.94313</c:v>
                </c:pt>
                <c:pt idx="38">
                  <c:v>0</c:v>
                </c:pt>
                <c:pt idx="39">
                  <c:v>0</c:v>
                </c:pt>
                <c:pt idx="40">
                  <c:v>0.95209410000000005</c:v>
                </c:pt>
                <c:pt idx="41">
                  <c:v>2.8768060000000002</c:v>
                </c:pt>
                <c:pt idx="42">
                  <c:v>0</c:v>
                </c:pt>
                <c:pt idx="43">
                  <c:v>3.0630459999999999</c:v>
                </c:pt>
                <c:pt idx="44">
                  <c:v>1.8674489999999999</c:v>
                </c:pt>
                <c:pt idx="45">
                  <c:v>1.8763479999999999</c:v>
                </c:pt>
                <c:pt idx="46">
                  <c:v>0</c:v>
                </c:pt>
                <c:pt idx="47">
                  <c:v>0.84934290000000001</c:v>
                </c:pt>
                <c:pt idx="48">
                  <c:v>1.637424</c:v>
                </c:pt>
                <c:pt idx="49">
                  <c:v>0</c:v>
                </c:pt>
                <c:pt idx="50">
                  <c:v>0.89303169999999998</c:v>
                </c:pt>
                <c:pt idx="51">
                  <c:v>0.99505089999999996</c:v>
                </c:pt>
                <c:pt idx="52">
                  <c:v>1.836525</c:v>
                </c:pt>
                <c:pt idx="53">
                  <c:v>2.7558579999999999</c:v>
                </c:pt>
                <c:pt idx="54">
                  <c:v>0</c:v>
                </c:pt>
                <c:pt idx="55">
                  <c:v>0.73644089999999995</c:v>
                </c:pt>
                <c:pt idx="56">
                  <c:v>2.5639820000000002</c:v>
                </c:pt>
                <c:pt idx="57">
                  <c:v>1.2632669999999999</c:v>
                </c:pt>
                <c:pt idx="58">
                  <c:v>3.9688439999999998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0.89534689999999995</c:v>
                </c:pt>
                <c:pt idx="64">
                  <c:v>1.7933619999999999</c:v>
                </c:pt>
                <c:pt idx="65">
                  <c:v>2.738289</c:v>
                </c:pt>
                <c:pt idx="66">
                  <c:v>1.60172</c:v>
                </c:pt>
                <c:pt idx="67">
                  <c:v>1.0804560000000001</c:v>
                </c:pt>
                <c:pt idx="68">
                  <c:v>0</c:v>
                </c:pt>
                <c:pt idx="69">
                  <c:v>0.33602720000000003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3-4E9D-ADE0-4F5A6DAF54D4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'AAA Limits'!$B$2:$B$65</c:f>
              <c:numCache>
                <c:formatCode>General</c:formatCode>
                <c:ptCount val="6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16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33</c:v>
                </c:pt>
                <c:pt idx="8">
                  <c:v>34</c:v>
                </c:pt>
                <c:pt idx="9">
                  <c:v>40</c:v>
                </c:pt>
                <c:pt idx="10">
                  <c:v>47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54</c:v>
                </c:pt>
                <c:pt idx="16">
                  <c:v>56</c:v>
                </c:pt>
                <c:pt idx="17">
                  <c:v>65</c:v>
                </c:pt>
                <c:pt idx="18">
                  <c:v>68</c:v>
                </c:pt>
                <c:pt idx="19">
                  <c:v>73</c:v>
                </c:pt>
                <c:pt idx="20">
                  <c:v>76</c:v>
                </c:pt>
                <c:pt idx="21">
                  <c:v>81</c:v>
                </c:pt>
                <c:pt idx="22">
                  <c:v>90</c:v>
                </c:pt>
                <c:pt idx="23">
                  <c:v>93</c:v>
                </c:pt>
                <c:pt idx="24">
                  <c:v>96</c:v>
                </c:pt>
                <c:pt idx="25">
                  <c:v>97</c:v>
                </c:pt>
                <c:pt idx="26">
                  <c:v>99</c:v>
                </c:pt>
                <c:pt idx="27">
                  <c:v>101</c:v>
                </c:pt>
                <c:pt idx="28">
                  <c:v>103</c:v>
                </c:pt>
                <c:pt idx="29">
                  <c:v>108</c:v>
                </c:pt>
                <c:pt idx="30">
                  <c:v>110</c:v>
                </c:pt>
                <c:pt idx="31">
                  <c:v>111</c:v>
                </c:pt>
                <c:pt idx="32">
                  <c:v>112</c:v>
                </c:pt>
                <c:pt idx="33">
                  <c:v>118</c:v>
                </c:pt>
                <c:pt idx="34">
                  <c:v>122</c:v>
                </c:pt>
                <c:pt idx="35">
                  <c:v>124</c:v>
                </c:pt>
                <c:pt idx="36">
                  <c:v>125</c:v>
                </c:pt>
                <c:pt idx="37">
                  <c:v>126</c:v>
                </c:pt>
                <c:pt idx="38">
                  <c:v>127</c:v>
                </c:pt>
                <c:pt idx="39">
                  <c:v>129</c:v>
                </c:pt>
                <c:pt idx="40">
                  <c:v>139</c:v>
                </c:pt>
                <c:pt idx="41">
                  <c:v>140</c:v>
                </c:pt>
                <c:pt idx="42">
                  <c:v>141</c:v>
                </c:pt>
                <c:pt idx="43">
                  <c:v>143</c:v>
                </c:pt>
                <c:pt idx="44">
                  <c:v>147</c:v>
                </c:pt>
                <c:pt idx="45">
                  <c:v>150</c:v>
                </c:pt>
                <c:pt idx="46">
                  <c:v>154</c:v>
                </c:pt>
                <c:pt idx="47">
                  <c:v>155</c:v>
                </c:pt>
                <c:pt idx="48">
                  <c:v>160</c:v>
                </c:pt>
                <c:pt idx="49">
                  <c:v>166</c:v>
                </c:pt>
                <c:pt idx="50">
                  <c:v>175</c:v>
                </c:pt>
                <c:pt idx="51">
                  <c:v>176</c:v>
                </c:pt>
                <c:pt idx="52">
                  <c:v>188</c:v>
                </c:pt>
                <c:pt idx="53">
                  <c:v>193</c:v>
                </c:pt>
                <c:pt idx="54">
                  <c:v>196</c:v>
                </c:pt>
                <c:pt idx="55">
                  <c:v>199</c:v>
                </c:pt>
                <c:pt idx="56">
                  <c:v>210</c:v>
                </c:pt>
                <c:pt idx="57">
                  <c:v>212</c:v>
                </c:pt>
                <c:pt idx="58">
                  <c:v>214</c:v>
                </c:pt>
                <c:pt idx="59">
                  <c:v>222</c:v>
                </c:pt>
                <c:pt idx="60">
                  <c:v>227</c:v>
                </c:pt>
                <c:pt idx="61">
                  <c:v>277</c:v>
                </c:pt>
                <c:pt idx="62">
                  <c:v>281</c:v>
                </c:pt>
                <c:pt idx="63">
                  <c:v>300</c:v>
                </c:pt>
              </c:numCache>
            </c:numRef>
          </c:xVal>
          <c:yVal>
            <c:numRef>
              <c:f>'AAA Limits'!$D$2:$D$65</c:f>
              <c:numCache>
                <c:formatCode>General</c:formatCode>
                <c:ptCount val="64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3-4E9D-ADE0-4F5A6DAF54D4}"/>
            </c:ext>
          </c:extLst>
        </c:ser>
        <c:ser>
          <c:idx val="2"/>
          <c:order val="2"/>
          <c:tx>
            <c:v>Upper 99.8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'AAA Limits'!$B$2:$B$65</c:f>
              <c:numCache>
                <c:formatCode>General</c:formatCode>
                <c:ptCount val="6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16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33</c:v>
                </c:pt>
                <c:pt idx="8">
                  <c:v>34</c:v>
                </c:pt>
                <c:pt idx="9">
                  <c:v>40</c:v>
                </c:pt>
                <c:pt idx="10">
                  <c:v>47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54</c:v>
                </c:pt>
                <c:pt idx="16">
                  <c:v>56</c:v>
                </c:pt>
                <c:pt idx="17">
                  <c:v>65</c:v>
                </c:pt>
                <c:pt idx="18">
                  <c:v>68</c:v>
                </c:pt>
                <c:pt idx="19">
                  <c:v>73</c:v>
                </c:pt>
                <c:pt idx="20">
                  <c:v>76</c:v>
                </c:pt>
                <c:pt idx="21">
                  <c:v>81</c:v>
                </c:pt>
                <c:pt idx="22">
                  <c:v>90</c:v>
                </c:pt>
                <c:pt idx="23">
                  <c:v>93</c:v>
                </c:pt>
                <c:pt idx="24">
                  <c:v>96</c:v>
                </c:pt>
                <c:pt idx="25">
                  <c:v>97</c:v>
                </c:pt>
                <c:pt idx="26">
                  <c:v>99</c:v>
                </c:pt>
                <c:pt idx="27">
                  <c:v>101</c:v>
                </c:pt>
                <c:pt idx="28">
                  <c:v>103</c:v>
                </c:pt>
                <c:pt idx="29">
                  <c:v>108</c:v>
                </c:pt>
                <c:pt idx="30">
                  <c:v>110</c:v>
                </c:pt>
                <c:pt idx="31">
                  <c:v>111</c:v>
                </c:pt>
                <c:pt idx="32">
                  <c:v>112</c:v>
                </c:pt>
                <c:pt idx="33">
                  <c:v>118</c:v>
                </c:pt>
                <c:pt idx="34">
                  <c:v>122</c:v>
                </c:pt>
                <c:pt idx="35">
                  <c:v>124</c:v>
                </c:pt>
                <c:pt idx="36">
                  <c:v>125</c:v>
                </c:pt>
                <c:pt idx="37">
                  <c:v>126</c:v>
                </c:pt>
                <c:pt idx="38">
                  <c:v>127</c:v>
                </c:pt>
                <c:pt idx="39">
                  <c:v>129</c:v>
                </c:pt>
                <c:pt idx="40">
                  <c:v>139</c:v>
                </c:pt>
                <c:pt idx="41">
                  <c:v>140</c:v>
                </c:pt>
                <c:pt idx="42">
                  <c:v>141</c:v>
                </c:pt>
                <c:pt idx="43">
                  <c:v>143</c:v>
                </c:pt>
                <c:pt idx="44">
                  <c:v>147</c:v>
                </c:pt>
                <c:pt idx="45">
                  <c:v>150</c:v>
                </c:pt>
                <c:pt idx="46">
                  <c:v>154</c:v>
                </c:pt>
                <c:pt idx="47">
                  <c:v>155</c:v>
                </c:pt>
                <c:pt idx="48">
                  <c:v>160</c:v>
                </c:pt>
                <c:pt idx="49">
                  <c:v>166</c:v>
                </c:pt>
                <c:pt idx="50">
                  <c:v>175</c:v>
                </c:pt>
                <c:pt idx="51">
                  <c:v>176</c:v>
                </c:pt>
                <c:pt idx="52">
                  <c:v>188</c:v>
                </c:pt>
                <c:pt idx="53">
                  <c:v>193</c:v>
                </c:pt>
                <c:pt idx="54">
                  <c:v>196</c:v>
                </c:pt>
                <c:pt idx="55">
                  <c:v>199</c:v>
                </c:pt>
                <c:pt idx="56">
                  <c:v>210</c:v>
                </c:pt>
                <c:pt idx="57">
                  <c:v>212</c:v>
                </c:pt>
                <c:pt idx="58">
                  <c:v>214</c:v>
                </c:pt>
                <c:pt idx="59">
                  <c:v>222</c:v>
                </c:pt>
                <c:pt idx="60">
                  <c:v>227</c:v>
                </c:pt>
                <c:pt idx="61">
                  <c:v>277</c:v>
                </c:pt>
                <c:pt idx="62">
                  <c:v>281</c:v>
                </c:pt>
                <c:pt idx="63">
                  <c:v>300</c:v>
                </c:pt>
              </c:numCache>
            </c:numRef>
          </c:xVal>
          <c:yVal>
            <c:numRef>
              <c:f>'AAA Limits'!$C$2:$C$65</c:f>
              <c:numCache>
                <c:formatCode>General</c:formatCode>
                <c:ptCount val="64"/>
                <c:pt idx="0">
                  <c:v>50</c:v>
                </c:pt>
                <c:pt idx="1">
                  <c:v>43.930489999999999</c:v>
                </c:pt>
                <c:pt idx="2">
                  <c:v>24.60735</c:v>
                </c:pt>
                <c:pt idx="3">
                  <c:v>19.94773</c:v>
                </c:pt>
                <c:pt idx="4">
                  <c:v>16.96087</c:v>
                </c:pt>
                <c:pt idx="5">
                  <c:v>13.9994</c:v>
                </c:pt>
                <c:pt idx="6">
                  <c:v>13.19049</c:v>
                </c:pt>
                <c:pt idx="7">
                  <c:v>12.15875</c:v>
                </c:pt>
                <c:pt idx="8">
                  <c:v>12.143319999999999</c:v>
                </c:pt>
                <c:pt idx="9">
                  <c:v>11.447469999999999</c:v>
                </c:pt>
                <c:pt idx="10">
                  <c:v>10.28224</c:v>
                </c:pt>
                <c:pt idx="11">
                  <c:v>9.9583370000000002</c:v>
                </c:pt>
                <c:pt idx="12">
                  <c:v>9.8006910000000005</c:v>
                </c:pt>
                <c:pt idx="13">
                  <c:v>9.6462160000000008</c:v>
                </c:pt>
                <c:pt idx="14">
                  <c:v>9.4950559999999999</c:v>
                </c:pt>
                <c:pt idx="15">
                  <c:v>9.2029969999999999</c:v>
                </c:pt>
                <c:pt idx="16">
                  <c:v>8.9247990000000001</c:v>
                </c:pt>
                <c:pt idx="17">
                  <c:v>8.5489999999999995</c:v>
                </c:pt>
                <c:pt idx="18">
                  <c:v>8.3383210000000005</c:v>
                </c:pt>
                <c:pt idx="19">
                  <c:v>7.9615260000000001</c:v>
                </c:pt>
                <c:pt idx="20">
                  <c:v>7.7331279999999998</c:v>
                </c:pt>
                <c:pt idx="21">
                  <c:v>7.3623510000000003</c:v>
                </c:pt>
                <c:pt idx="22">
                  <c:v>7.088533</c:v>
                </c:pt>
                <c:pt idx="23">
                  <c:v>6.998621</c:v>
                </c:pt>
                <c:pt idx="24">
                  <c:v>6.8915759999999997</c:v>
                </c:pt>
                <c:pt idx="25">
                  <c:v>6.8532130000000002</c:v>
                </c:pt>
                <c:pt idx="26">
                  <c:v>6.7735820000000002</c:v>
                </c:pt>
                <c:pt idx="27">
                  <c:v>6.6910670000000003</c:v>
                </c:pt>
                <c:pt idx="28">
                  <c:v>6.606649</c:v>
                </c:pt>
                <c:pt idx="29">
                  <c:v>6.3920219999999999</c:v>
                </c:pt>
                <c:pt idx="30">
                  <c:v>6.306133</c:v>
                </c:pt>
                <c:pt idx="31">
                  <c:v>6.2633780000000003</c:v>
                </c:pt>
                <c:pt idx="32">
                  <c:v>6.2208009999999998</c:v>
                </c:pt>
                <c:pt idx="33">
                  <c:v>6.1067640000000001</c:v>
                </c:pt>
                <c:pt idx="34">
                  <c:v>6.0560479999999997</c:v>
                </c:pt>
                <c:pt idx="35">
                  <c:v>6.0210129999999999</c:v>
                </c:pt>
                <c:pt idx="36">
                  <c:v>6.0016059999999998</c:v>
                </c:pt>
                <c:pt idx="37">
                  <c:v>5.9811050000000003</c:v>
                </c:pt>
                <c:pt idx="38">
                  <c:v>5.959625</c:v>
                </c:pt>
                <c:pt idx="39">
                  <c:v>5.9141250000000003</c:v>
                </c:pt>
                <c:pt idx="40">
                  <c:v>5.655437</c:v>
                </c:pt>
                <c:pt idx="41">
                  <c:v>5.6280380000000001</c:v>
                </c:pt>
                <c:pt idx="42">
                  <c:v>5.6005229999999999</c:v>
                </c:pt>
                <c:pt idx="43">
                  <c:v>5.5452659999999998</c:v>
                </c:pt>
                <c:pt idx="44">
                  <c:v>5.4345309999999998</c:v>
                </c:pt>
                <c:pt idx="45">
                  <c:v>5.4089260000000001</c:v>
                </c:pt>
                <c:pt idx="46">
                  <c:v>5.3859190000000003</c:v>
                </c:pt>
                <c:pt idx="47">
                  <c:v>5.3771449999999996</c:v>
                </c:pt>
                <c:pt idx="48">
                  <c:v>5.3194710000000001</c:v>
                </c:pt>
                <c:pt idx="49">
                  <c:v>5.2284119999999996</c:v>
                </c:pt>
                <c:pt idx="50">
                  <c:v>5.0672959999999998</c:v>
                </c:pt>
                <c:pt idx="51">
                  <c:v>5.0483909999999996</c:v>
                </c:pt>
                <c:pt idx="52">
                  <c:v>4.8938009999999998</c:v>
                </c:pt>
                <c:pt idx="53">
                  <c:v>4.8645909999999999</c:v>
                </c:pt>
                <c:pt idx="54">
                  <c:v>4.8394599999999999</c:v>
                </c:pt>
                <c:pt idx="55">
                  <c:v>4.8099429999999996</c:v>
                </c:pt>
                <c:pt idx="56">
                  <c:v>4.676634</c:v>
                </c:pt>
                <c:pt idx="57">
                  <c:v>4.6496449999999996</c:v>
                </c:pt>
                <c:pt idx="58">
                  <c:v>4.6221329999999998</c:v>
                </c:pt>
                <c:pt idx="59">
                  <c:v>4.5187200000000001</c:v>
                </c:pt>
                <c:pt idx="60">
                  <c:v>4.5091140000000003</c:v>
                </c:pt>
                <c:pt idx="61">
                  <c:v>4.1671659999999999</c:v>
                </c:pt>
                <c:pt idx="62">
                  <c:v>4.1422819999999998</c:v>
                </c:pt>
                <c:pt idx="63">
                  <c:v>3.9930569999999999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3-4E9D-ADE0-4F5A6DAF54D4}"/>
            </c:ext>
          </c:extLst>
        </c:ser>
        <c:ser>
          <c:idx val="3"/>
          <c:order val="3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'AAA Summary'!$AJ$2</c:f>
              <c:numCache>
                <c:formatCode>General</c:formatCode>
                <c:ptCount val="1"/>
                <c:pt idx="0">
                  <c:v>81</c:v>
                </c:pt>
              </c:numCache>
            </c:numRef>
          </c:xVal>
          <c:yVal>
            <c:numRef>
              <c:f>'AAA Summary'!$AK$2</c:f>
              <c:numCache>
                <c:formatCode>General</c:formatCode>
                <c:ptCount val="1"/>
                <c:pt idx="0">
                  <c:v>2.640784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3-4E9D-ADE0-4F5A6DAF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</c:valAx>
      <c:valAx>
        <c:axId val="57849340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Summary'!$H$32</c:f>
          <c:strCache>
            <c:ptCount val="1"/>
            <c:pt idx="0">
              <c:v>% patients with date of assessment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'Elective Infra-Renal AAA Repair'!$H$7</c:f>
              <c:strCache>
                <c:ptCount val="1"/>
                <c:pt idx="0">
                  <c:v>%patients discussed at MDT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'Elective Infra-Renal AAA Repair'!$T$8:$T$77</c:f>
              <c:numCache>
                <c:formatCode>General</c:formatCode>
                <c:ptCount val="70"/>
                <c:pt idx="0">
                  <c:v>16</c:v>
                </c:pt>
                <c:pt idx="1">
                  <c:v>33</c:v>
                </c:pt>
                <c:pt idx="2">
                  <c:v>54</c:v>
                </c:pt>
                <c:pt idx="3">
                  <c:v>55</c:v>
                </c:pt>
                <c:pt idx="4">
                  <c:v>30</c:v>
                </c:pt>
                <c:pt idx="5">
                  <c:v>50</c:v>
                </c:pt>
                <c:pt idx="6">
                  <c:v>56</c:v>
                </c:pt>
                <c:pt idx="7">
                  <c:v>8</c:v>
                </c:pt>
                <c:pt idx="8">
                  <c:v>57</c:v>
                </c:pt>
                <c:pt idx="9">
                  <c:v>40</c:v>
                </c:pt>
                <c:pt idx="10">
                  <c:v>9</c:v>
                </c:pt>
                <c:pt idx="11">
                  <c:v>32</c:v>
                </c:pt>
                <c:pt idx="12">
                  <c:v>23</c:v>
                </c:pt>
                <c:pt idx="13">
                  <c:v>42</c:v>
                </c:pt>
                <c:pt idx="14">
                  <c:v>38</c:v>
                </c:pt>
                <c:pt idx="15">
                  <c:v>26</c:v>
                </c:pt>
                <c:pt idx="16">
                  <c:v>22</c:v>
                </c:pt>
                <c:pt idx="17">
                  <c:v>19</c:v>
                </c:pt>
                <c:pt idx="18">
                  <c:v>35</c:v>
                </c:pt>
                <c:pt idx="19">
                  <c:v>5</c:v>
                </c:pt>
                <c:pt idx="20">
                  <c:v>1</c:v>
                </c:pt>
                <c:pt idx="21">
                  <c:v>39</c:v>
                </c:pt>
                <c:pt idx="22">
                  <c:v>12</c:v>
                </c:pt>
                <c:pt idx="23">
                  <c:v>14</c:v>
                </c:pt>
                <c:pt idx="24">
                  <c:v>36</c:v>
                </c:pt>
                <c:pt idx="25">
                  <c:v>58</c:v>
                </c:pt>
                <c:pt idx="26">
                  <c:v>41</c:v>
                </c:pt>
                <c:pt idx="27">
                  <c:v>18</c:v>
                </c:pt>
                <c:pt idx="28">
                  <c:v>31</c:v>
                </c:pt>
                <c:pt idx="29">
                  <c:v>59</c:v>
                </c:pt>
                <c:pt idx="30">
                  <c:v>3</c:v>
                </c:pt>
                <c:pt idx="31">
                  <c:v>13</c:v>
                </c:pt>
                <c:pt idx="32">
                  <c:v>60</c:v>
                </c:pt>
                <c:pt idx="33">
                  <c:v>2</c:v>
                </c:pt>
                <c:pt idx="34">
                  <c:v>47</c:v>
                </c:pt>
                <c:pt idx="35">
                  <c:v>61</c:v>
                </c:pt>
                <c:pt idx="36">
                  <c:v>45</c:v>
                </c:pt>
                <c:pt idx="37">
                  <c:v>62</c:v>
                </c:pt>
                <c:pt idx="38">
                  <c:v>63</c:v>
                </c:pt>
                <c:pt idx="39">
                  <c:v>37</c:v>
                </c:pt>
                <c:pt idx="40">
                  <c:v>34</c:v>
                </c:pt>
                <c:pt idx="41">
                  <c:v>4</c:v>
                </c:pt>
                <c:pt idx="42">
                  <c:v>25</c:v>
                </c:pt>
                <c:pt idx="43">
                  <c:v>64</c:v>
                </c:pt>
                <c:pt idx="44">
                  <c:v>65</c:v>
                </c:pt>
                <c:pt idx="45">
                  <c:v>28</c:v>
                </c:pt>
                <c:pt idx="46">
                  <c:v>43</c:v>
                </c:pt>
                <c:pt idx="47">
                  <c:v>6</c:v>
                </c:pt>
                <c:pt idx="48">
                  <c:v>15</c:v>
                </c:pt>
                <c:pt idx="49">
                  <c:v>27</c:v>
                </c:pt>
                <c:pt idx="50">
                  <c:v>52</c:v>
                </c:pt>
                <c:pt idx="51">
                  <c:v>48</c:v>
                </c:pt>
                <c:pt idx="52">
                  <c:v>29</c:v>
                </c:pt>
                <c:pt idx="53">
                  <c:v>20</c:v>
                </c:pt>
                <c:pt idx="54">
                  <c:v>49</c:v>
                </c:pt>
                <c:pt idx="55">
                  <c:v>10</c:v>
                </c:pt>
                <c:pt idx="56">
                  <c:v>66</c:v>
                </c:pt>
                <c:pt idx="57">
                  <c:v>67</c:v>
                </c:pt>
                <c:pt idx="58">
                  <c:v>46</c:v>
                </c:pt>
                <c:pt idx="59">
                  <c:v>17</c:v>
                </c:pt>
                <c:pt idx="60">
                  <c:v>44</c:v>
                </c:pt>
                <c:pt idx="61">
                  <c:v>24</c:v>
                </c:pt>
                <c:pt idx="62">
                  <c:v>11</c:v>
                </c:pt>
                <c:pt idx="63">
                  <c:v>53</c:v>
                </c:pt>
                <c:pt idx="64">
                  <c:v>51</c:v>
                </c:pt>
                <c:pt idx="65">
                  <c:v>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21</c:v>
                </c:pt>
              </c:numCache>
            </c:numRef>
          </c:cat>
          <c:val>
            <c:numRef>
              <c:f>'Elective Infra-Renal AAA Repair'!$U$8:$U$83</c:f>
              <c:numCache>
                <c:formatCode>0%</c:formatCode>
                <c:ptCount val="76"/>
                <c:pt idx="0">
                  <c:v>0.84</c:v>
                </c:pt>
                <c:pt idx="1">
                  <c:v>0.94444439999999996</c:v>
                </c:pt>
                <c:pt idx="2">
                  <c:v>1</c:v>
                </c:pt>
                <c:pt idx="3">
                  <c:v>1</c:v>
                </c:pt>
                <c:pt idx="4">
                  <c:v>0.92473119999999998</c:v>
                </c:pt>
                <c:pt idx="5">
                  <c:v>0.97727269999999999</c:v>
                </c:pt>
                <c:pt idx="6">
                  <c:v>1</c:v>
                </c:pt>
                <c:pt idx="7">
                  <c:v>0.76388889999999998</c:v>
                </c:pt>
                <c:pt idx="8">
                  <c:v>1</c:v>
                </c:pt>
                <c:pt idx="9">
                  <c:v>0.95555559999999995</c:v>
                </c:pt>
                <c:pt idx="10">
                  <c:v>0.77272730000000001</c:v>
                </c:pt>
                <c:pt idx="11">
                  <c:v>0.93333330000000003</c:v>
                </c:pt>
                <c:pt idx="12">
                  <c:v>0.88636360000000003</c:v>
                </c:pt>
                <c:pt idx="13">
                  <c:v>0.96153840000000002</c:v>
                </c:pt>
                <c:pt idx="14">
                  <c:v>0.95454539999999999</c:v>
                </c:pt>
                <c:pt idx="15">
                  <c:v>0.90909090000000004</c:v>
                </c:pt>
                <c:pt idx="16">
                  <c:v>0.859375</c:v>
                </c:pt>
                <c:pt idx="17">
                  <c:v>0.84905660000000005</c:v>
                </c:pt>
                <c:pt idx="18">
                  <c:v>0.9473684</c:v>
                </c:pt>
                <c:pt idx="19">
                  <c:v>0.71739129999999995</c:v>
                </c:pt>
                <c:pt idx="20">
                  <c:v>0</c:v>
                </c:pt>
                <c:pt idx="21">
                  <c:v>0.95505620000000002</c:v>
                </c:pt>
                <c:pt idx="22">
                  <c:v>0.81081080000000005</c:v>
                </c:pt>
                <c:pt idx="23">
                  <c:v>0.83333330000000005</c:v>
                </c:pt>
                <c:pt idx="24">
                  <c:v>0.95</c:v>
                </c:pt>
                <c:pt idx="25">
                  <c:v>1</c:v>
                </c:pt>
                <c:pt idx="26">
                  <c:v>0.95652170000000003</c:v>
                </c:pt>
                <c:pt idx="27">
                  <c:v>0.84782610000000003</c:v>
                </c:pt>
                <c:pt idx="28">
                  <c:v>0.92647060000000003</c:v>
                </c:pt>
                <c:pt idx="29">
                  <c:v>1</c:v>
                </c:pt>
                <c:pt idx="30">
                  <c:v>0.59259260000000002</c:v>
                </c:pt>
                <c:pt idx="31">
                  <c:v>0.82352939999999997</c:v>
                </c:pt>
                <c:pt idx="32">
                  <c:v>1</c:v>
                </c:pt>
                <c:pt idx="33">
                  <c:v>0.55882350000000003</c:v>
                </c:pt>
                <c:pt idx="34">
                  <c:v>0.97619040000000001</c:v>
                </c:pt>
                <c:pt idx="35">
                  <c:v>1</c:v>
                </c:pt>
                <c:pt idx="36">
                  <c:v>0.971831</c:v>
                </c:pt>
                <c:pt idx="37">
                  <c:v>1</c:v>
                </c:pt>
                <c:pt idx="38">
                  <c:v>1</c:v>
                </c:pt>
                <c:pt idx="39">
                  <c:v>0.9512195</c:v>
                </c:pt>
                <c:pt idx="40">
                  <c:v>0.94642859999999995</c:v>
                </c:pt>
                <c:pt idx="41">
                  <c:v>0.7</c:v>
                </c:pt>
                <c:pt idx="42">
                  <c:v>0.9</c:v>
                </c:pt>
                <c:pt idx="43">
                  <c:v>1</c:v>
                </c:pt>
                <c:pt idx="44">
                  <c:v>1</c:v>
                </c:pt>
                <c:pt idx="45">
                  <c:v>0.92307689999999998</c:v>
                </c:pt>
                <c:pt idx="46">
                  <c:v>0.96153840000000002</c:v>
                </c:pt>
                <c:pt idx="47">
                  <c:v>0.71875</c:v>
                </c:pt>
                <c:pt idx="48">
                  <c:v>0.83783779999999997</c:v>
                </c:pt>
                <c:pt idx="49">
                  <c:v>0.92</c:v>
                </c:pt>
                <c:pt idx="50">
                  <c:v>0.98275860000000004</c:v>
                </c:pt>
                <c:pt idx="51">
                  <c:v>0.97619040000000001</c:v>
                </c:pt>
                <c:pt idx="52">
                  <c:v>0.92452829999999997</c:v>
                </c:pt>
                <c:pt idx="53">
                  <c:v>0.85714290000000004</c:v>
                </c:pt>
                <c:pt idx="54">
                  <c:v>0.97619040000000001</c:v>
                </c:pt>
                <c:pt idx="55">
                  <c:v>0.78378380000000003</c:v>
                </c:pt>
                <c:pt idx="56">
                  <c:v>1</c:v>
                </c:pt>
                <c:pt idx="57">
                  <c:v>1</c:v>
                </c:pt>
                <c:pt idx="58">
                  <c:v>0.97222220000000004</c:v>
                </c:pt>
                <c:pt idx="59">
                  <c:v>0.84057970000000004</c:v>
                </c:pt>
                <c:pt idx="60">
                  <c:v>0.96721310000000005</c:v>
                </c:pt>
                <c:pt idx="61">
                  <c:v>0.89743589999999995</c:v>
                </c:pt>
                <c:pt idx="62">
                  <c:v>0.80434779999999995</c:v>
                </c:pt>
                <c:pt idx="63">
                  <c:v>0.984375</c:v>
                </c:pt>
                <c:pt idx="64">
                  <c:v>0.98181819999999997</c:v>
                </c:pt>
                <c:pt idx="65">
                  <c:v>0.72727269999999999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0.85714290000000004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'AAA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'AAA Summary'!$AD$4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'AAA Summary'!$AB$4</c:f>
              <c:numCache>
                <c:formatCode>General</c:formatCode>
                <c:ptCount val="1"/>
                <c:pt idx="0">
                  <c:v>0.84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non-elective patients with CLTI who had revascularisation within 5 days from admission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'LL Revasc Data'!$D$1</c:f>
              <c:strCache>
                <c:ptCount val="1"/>
                <c:pt idx="0">
                  <c:v>CLTI waiting Time (IQR) (days)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'LL Revasc Data'!$W$2:$W$94</c:f>
                <c:numCache>
                  <c:formatCode>General</c:formatCode>
                  <c:ptCount val="93"/>
                  <c:pt idx="0">
                    <c:v>13.999998569488525</c:v>
                  </c:pt>
                  <c:pt idx="1">
                    <c:v>0</c:v>
                  </c:pt>
                  <c:pt idx="2">
                    <c:v>15.000003576278687</c:v>
                  </c:pt>
                  <c:pt idx="3">
                    <c:v>17.000001668930054</c:v>
                  </c:pt>
                  <c:pt idx="4">
                    <c:v>12.999999523162842</c:v>
                  </c:pt>
                  <c:pt idx="5">
                    <c:v>10.999998450279236</c:v>
                  </c:pt>
                  <c:pt idx="6">
                    <c:v>18.999999761581421</c:v>
                  </c:pt>
                  <c:pt idx="7">
                    <c:v>0</c:v>
                  </c:pt>
                  <c:pt idx="8">
                    <c:v>27.000004053115845</c:v>
                  </c:pt>
                  <c:pt idx="9">
                    <c:v>0</c:v>
                  </c:pt>
                  <c:pt idx="10">
                    <c:v>0</c:v>
                  </c:pt>
                  <c:pt idx="11">
                    <c:v>16.00000262260437</c:v>
                  </c:pt>
                  <c:pt idx="12">
                    <c:v>18.999999761581421</c:v>
                  </c:pt>
                  <c:pt idx="13">
                    <c:v>12.000000476837158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11.000001430511475</c:v>
                  </c:pt>
                  <c:pt idx="18">
                    <c:v>14.999997615814209</c:v>
                  </c:pt>
                  <c:pt idx="19">
                    <c:v>10.999995470046997</c:v>
                  </c:pt>
                  <c:pt idx="20">
                    <c:v>14.000004529953003</c:v>
                  </c:pt>
                  <c:pt idx="21">
                    <c:v>19.999998807907104</c:v>
                  </c:pt>
                  <c:pt idx="22">
                    <c:v>0</c:v>
                  </c:pt>
                  <c:pt idx="23">
                    <c:v>18.999999761581421</c:v>
                  </c:pt>
                  <c:pt idx="24">
                    <c:v>0</c:v>
                  </c:pt>
                  <c:pt idx="25">
                    <c:v>9.0000003576278687</c:v>
                  </c:pt>
                  <c:pt idx="26">
                    <c:v>0</c:v>
                  </c:pt>
                  <c:pt idx="27">
                    <c:v>10.000002384185791</c:v>
                  </c:pt>
                  <c:pt idx="28">
                    <c:v>10.000002384185791</c:v>
                  </c:pt>
                  <c:pt idx="29">
                    <c:v>27.999997138977051</c:v>
                  </c:pt>
                  <c:pt idx="30">
                    <c:v>9.0000033378601074</c:v>
                  </c:pt>
                  <c:pt idx="31">
                    <c:v>17.999997735023499</c:v>
                  </c:pt>
                  <c:pt idx="32">
                    <c:v>9.0000003576278687</c:v>
                  </c:pt>
                  <c:pt idx="33">
                    <c:v>10.000002384185791</c:v>
                  </c:pt>
                  <c:pt idx="34">
                    <c:v>10.000002384185791</c:v>
                  </c:pt>
                  <c:pt idx="35">
                    <c:v>20.999997854232788</c:v>
                  </c:pt>
                  <c:pt idx="36">
                    <c:v>11.000001430511475</c:v>
                  </c:pt>
                  <c:pt idx="37">
                    <c:v>0</c:v>
                  </c:pt>
                  <c:pt idx="38">
                    <c:v>0</c:v>
                  </c:pt>
                  <c:pt idx="39">
                    <c:v>9.0000003576278687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23.000001907348633</c:v>
                  </c:pt>
                  <c:pt idx="44">
                    <c:v>12.999999523162842</c:v>
                  </c:pt>
                  <c:pt idx="45">
                    <c:v>14.999997615814209</c:v>
                  </c:pt>
                  <c:pt idx="46">
                    <c:v>26.000002026557922</c:v>
                  </c:pt>
                  <c:pt idx="47">
                    <c:v>32.999998331069946</c:v>
                  </c:pt>
                  <c:pt idx="48">
                    <c:v>29.000002145767212</c:v>
                  </c:pt>
                  <c:pt idx="49">
                    <c:v>15.000003576278687</c:v>
                  </c:pt>
                  <c:pt idx="50">
                    <c:v>8.9999973773956299</c:v>
                  </c:pt>
                  <c:pt idx="51">
                    <c:v>14.999997615814209</c:v>
                  </c:pt>
                  <c:pt idx="52">
                    <c:v>0</c:v>
                  </c:pt>
                  <c:pt idx="53">
                    <c:v>12.000000476837158</c:v>
                  </c:pt>
                  <c:pt idx="54">
                    <c:v>9.0000003576278687</c:v>
                  </c:pt>
                  <c:pt idx="55">
                    <c:v>20.999997854232788</c:v>
                  </c:pt>
                  <c:pt idx="56">
                    <c:v>0</c:v>
                  </c:pt>
                  <c:pt idx="57">
                    <c:v>0</c:v>
                  </c:pt>
                  <c:pt idx="58">
                    <c:v>28.000001609325409</c:v>
                  </c:pt>
                  <c:pt idx="59">
                    <c:v>0</c:v>
                  </c:pt>
                  <c:pt idx="60">
                    <c:v>7.9999983310699463</c:v>
                  </c:pt>
                  <c:pt idx="61">
                    <c:v>21.999996900558472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22.999998927116394</c:v>
                  </c:pt>
                  <c:pt idx="66">
                    <c:v>13.999998569488525</c:v>
                  </c:pt>
                  <c:pt idx="67">
                    <c:v>11.000001430511475</c:v>
                  </c:pt>
                  <c:pt idx="68">
                    <c:v>23.000001907348633</c:v>
                  </c:pt>
                  <c:pt idx="69">
                    <c:v>21.000000834465027</c:v>
                  </c:pt>
                  <c:pt idx="70">
                    <c:v>0</c:v>
                  </c:pt>
                  <c:pt idx="71">
                    <c:v>10.000002384185791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8.9999973773956299</c:v>
                  </c:pt>
                  <c:pt idx="75">
                    <c:v>10.000002384185791</c:v>
                  </c:pt>
                  <c:pt idx="76">
                    <c:v>0</c:v>
                  </c:pt>
                  <c:pt idx="77">
                    <c:v>14.999997615814209</c:v>
                  </c:pt>
                  <c:pt idx="78">
                    <c:v>0</c:v>
                  </c:pt>
                  <c:pt idx="79">
                    <c:v>9.9999994039535522</c:v>
                  </c:pt>
                  <c:pt idx="80">
                    <c:v>18.999999761581421</c:v>
                  </c:pt>
                  <c:pt idx="81">
                    <c:v>16.00000262260437</c:v>
                  </c:pt>
                  <c:pt idx="82">
                    <c:v>6.0000002384185791</c:v>
                  </c:pt>
                  <c:pt idx="83">
                    <c:v>13.999998569488525</c:v>
                  </c:pt>
                  <c:pt idx="84">
                    <c:v>26.999998092651367</c:v>
                  </c:pt>
                  <c:pt idx="85">
                    <c:v>10.999998450279236</c:v>
                  </c:pt>
                  <c:pt idx="86">
                    <c:v>9.9999964237213135</c:v>
                  </c:pt>
                  <c:pt idx="87">
                    <c:v>31.999999284744263</c:v>
                  </c:pt>
                  <c:pt idx="88">
                    <c:v>26.999998092651367</c:v>
                  </c:pt>
                  <c:pt idx="89">
                    <c:v>0</c:v>
                  </c:pt>
                  <c:pt idx="90">
                    <c:v>12.000000476837158</c:v>
                  </c:pt>
                  <c:pt idx="91">
                    <c:v>0</c:v>
                  </c:pt>
                  <c:pt idx="92">
                    <c:v>6.9999992847442627</c:v>
                  </c:pt>
                </c:numCache>
              </c:numRef>
            </c:plus>
            <c:minus>
              <c:numRef>
                <c:f>'LL Revasc Data'!$X$2:$X$94</c:f>
                <c:numCache>
                  <c:formatCode>General</c:formatCode>
                  <c:ptCount val="93"/>
                  <c:pt idx="0">
                    <c:v>15.000000596046448</c:v>
                  </c:pt>
                  <c:pt idx="1">
                    <c:v>0</c:v>
                  </c:pt>
                  <c:pt idx="2">
                    <c:v>14.999997615814209</c:v>
                  </c:pt>
                  <c:pt idx="3">
                    <c:v>12.999999523162842</c:v>
                  </c:pt>
                  <c:pt idx="4">
                    <c:v>15.000003576278687</c:v>
                  </c:pt>
                  <c:pt idx="5">
                    <c:v>10.999998450279236</c:v>
                  </c:pt>
                  <c:pt idx="6">
                    <c:v>16.000001132488251</c:v>
                  </c:pt>
                  <c:pt idx="7">
                    <c:v>0</c:v>
                  </c:pt>
                  <c:pt idx="8">
                    <c:v>29.999998211860657</c:v>
                  </c:pt>
                  <c:pt idx="9">
                    <c:v>0</c:v>
                  </c:pt>
                  <c:pt idx="10">
                    <c:v>0</c:v>
                  </c:pt>
                  <c:pt idx="11">
                    <c:v>17.999997735023499</c:v>
                  </c:pt>
                  <c:pt idx="12">
                    <c:v>15.000000596046448</c:v>
                  </c:pt>
                  <c:pt idx="13">
                    <c:v>11.999997496604919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22.000002861022949</c:v>
                  </c:pt>
                  <c:pt idx="18">
                    <c:v>18.999999761581421</c:v>
                  </c:pt>
                  <c:pt idx="19">
                    <c:v>14.000004529953003</c:v>
                  </c:pt>
                  <c:pt idx="20">
                    <c:v>14.999997615814209</c:v>
                  </c:pt>
                  <c:pt idx="21">
                    <c:v>24.000000953674316</c:v>
                  </c:pt>
                  <c:pt idx="22">
                    <c:v>0</c:v>
                  </c:pt>
                  <c:pt idx="23">
                    <c:v>19.999998807907104</c:v>
                  </c:pt>
                  <c:pt idx="24">
                    <c:v>0</c:v>
                  </c:pt>
                  <c:pt idx="25">
                    <c:v>8.0000013113021851</c:v>
                  </c:pt>
                  <c:pt idx="26">
                    <c:v>0</c:v>
                  </c:pt>
                  <c:pt idx="27">
                    <c:v>10.000002384185791</c:v>
                  </c:pt>
                  <c:pt idx="28">
                    <c:v>12.000000476837158</c:v>
                  </c:pt>
                  <c:pt idx="29">
                    <c:v>32.000000774860382</c:v>
                  </c:pt>
                  <c:pt idx="30">
                    <c:v>7.9999983310699463</c:v>
                  </c:pt>
                  <c:pt idx="31">
                    <c:v>14.000001549720764</c:v>
                  </c:pt>
                  <c:pt idx="32">
                    <c:v>7.9999983310699463</c:v>
                  </c:pt>
                  <c:pt idx="33">
                    <c:v>12.000000476837158</c:v>
                  </c:pt>
                  <c:pt idx="34">
                    <c:v>9.9999994039535522</c:v>
                  </c:pt>
                  <c:pt idx="35">
                    <c:v>25</c:v>
                  </c:pt>
                  <c:pt idx="36">
                    <c:v>19.999998807907104</c:v>
                  </c:pt>
                  <c:pt idx="37">
                    <c:v>0</c:v>
                  </c:pt>
                  <c:pt idx="38">
                    <c:v>0</c:v>
                  </c:pt>
                  <c:pt idx="39">
                    <c:v>7.9999983310699463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28.999999165534973</c:v>
                  </c:pt>
                  <c:pt idx="44">
                    <c:v>21.999996900558472</c:v>
                  </c:pt>
                  <c:pt idx="45">
                    <c:v>18.999999761581421</c:v>
                  </c:pt>
                  <c:pt idx="46">
                    <c:v>22.999998927116394</c:v>
                  </c:pt>
                  <c:pt idx="47">
                    <c:v>25.000001490116119</c:v>
                  </c:pt>
                  <c:pt idx="48">
                    <c:v>29.000000655651093</c:v>
                  </c:pt>
                  <c:pt idx="49">
                    <c:v>14.999997615814209</c:v>
                  </c:pt>
                  <c:pt idx="50">
                    <c:v>11.000001430511475</c:v>
                  </c:pt>
                  <c:pt idx="51">
                    <c:v>16.00000262260437</c:v>
                  </c:pt>
                  <c:pt idx="52">
                    <c:v>0</c:v>
                  </c:pt>
                  <c:pt idx="53">
                    <c:v>13.999998569488525</c:v>
                  </c:pt>
                  <c:pt idx="54">
                    <c:v>9.0000003576278687</c:v>
                  </c:pt>
                  <c:pt idx="55">
                    <c:v>18.999999761581421</c:v>
                  </c:pt>
                  <c:pt idx="56">
                    <c:v>31.000000238418579</c:v>
                  </c:pt>
                  <c:pt idx="57">
                    <c:v>0</c:v>
                  </c:pt>
                  <c:pt idx="58">
                    <c:v>7.9999998211860657</c:v>
                  </c:pt>
                  <c:pt idx="59">
                    <c:v>0</c:v>
                  </c:pt>
                  <c:pt idx="60">
                    <c:v>11.000001430511475</c:v>
                  </c:pt>
                  <c:pt idx="61">
                    <c:v>23.000001907348633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20.000000298023224</c:v>
                  </c:pt>
                  <c:pt idx="66">
                    <c:v>14.999997615814209</c:v>
                  </c:pt>
                  <c:pt idx="67">
                    <c:v>14.999997615814209</c:v>
                  </c:pt>
                  <c:pt idx="68">
                    <c:v>28.999999165534973</c:v>
                  </c:pt>
                  <c:pt idx="69">
                    <c:v>16.000000387430191</c:v>
                  </c:pt>
                  <c:pt idx="70">
                    <c:v>0</c:v>
                  </c:pt>
                  <c:pt idx="71">
                    <c:v>12.000000476837158</c:v>
                  </c:pt>
                  <c:pt idx="72">
                    <c:v>0</c:v>
                  </c:pt>
                  <c:pt idx="73">
                    <c:v>0</c:v>
                  </c:pt>
                  <c:pt idx="74">
                    <c:v>7.0000022649765015</c:v>
                  </c:pt>
                  <c:pt idx="75">
                    <c:v>10.999995470046997</c:v>
                  </c:pt>
                  <c:pt idx="76">
                    <c:v>0</c:v>
                  </c:pt>
                  <c:pt idx="77">
                    <c:v>13.000001013278961</c:v>
                  </c:pt>
                  <c:pt idx="78">
                    <c:v>0</c:v>
                  </c:pt>
                  <c:pt idx="79">
                    <c:v>9.9999994039535522</c:v>
                  </c:pt>
                  <c:pt idx="80">
                    <c:v>15.000000596046448</c:v>
                  </c:pt>
                  <c:pt idx="81">
                    <c:v>14.999997615814209</c:v>
                  </c:pt>
                  <c:pt idx="82">
                    <c:v>6.0000002384185791</c:v>
                  </c:pt>
                  <c:pt idx="83">
                    <c:v>12.999999523162842</c:v>
                  </c:pt>
                  <c:pt idx="84">
                    <c:v>26.999999582767487</c:v>
                  </c:pt>
                  <c:pt idx="85">
                    <c:v>11.000001430511475</c:v>
                  </c:pt>
                  <c:pt idx="86">
                    <c:v>9.0000033378601074</c:v>
                  </c:pt>
                  <c:pt idx="87">
                    <c:v>27.99999862909317</c:v>
                  </c:pt>
                  <c:pt idx="88">
                    <c:v>29.000002145767212</c:v>
                  </c:pt>
                  <c:pt idx="89">
                    <c:v>0</c:v>
                  </c:pt>
                  <c:pt idx="90">
                    <c:v>10.999998450279236</c:v>
                  </c:pt>
                  <c:pt idx="91">
                    <c:v>0</c:v>
                  </c:pt>
                  <c:pt idx="92">
                    <c:v>7.9999983310699463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'LL Revasc Data'!$K$2:$K$94</c:f>
              <c:numCache>
                <c:formatCode>General</c:formatCode>
                <c:ptCount val="93"/>
                <c:pt idx="0">
                  <c:v>24</c:v>
                </c:pt>
                <c:pt idx="1">
                  <c:v>66</c:v>
                </c:pt>
                <c:pt idx="2">
                  <c:v>37</c:v>
                </c:pt>
                <c:pt idx="3">
                  <c:v>61</c:v>
                </c:pt>
                <c:pt idx="4">
                  <c:v>13</c:v>
                </c:pt>
                <c:pt idx="5">
                  <c:v>43</c:v>
                </c:pt>
                <c:pt idx="6">
                  <c:v>56</c:v>
                </c:pt>
                <c:pt idx="7">
                  <c:v>71</c:v>
                </c:pt>
                <c:pt idx="8">
                  <c:v>28</c:v>
                </c:pt>
                <c:pt idx="9">
                  <c:v>72</c:v>
                </c:pt>
                <c:pt idx="10">
                  <c:v>73</c:v>
                </c:pt>
                <c:pt idx="11">
                  <c:v>26</c:v>
                </c:pt>
                <c:pt idx="12">
                  <c:v>62</c:v>
                </c:pt>
                <c:pt idx="13">
                  <c:v>29</c:v>
                </c:pt>
                <c:pt idx="14">
                  <c:v>74</c:v>
                </c:pt>
                <c:pt idx="15">
                  <c:v>75</c:v>
                </c:pt>
                <c:pt idx="16">
                  <c:v>67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35</c:v>
                </c:pt>
                <c:pt idx="21">
                  <c:v>23</c:v>
                </c:pt>
                <c:pt idx="22">
                  <c:v>76</c:v>
                </c:pt>
                <c:pt idx="23">
                  <c:v>27</c:v>
                </c:pt>
                <c:pt idx="24">
                  <c:v>77</c:v>
                </c:pt>
                <c:pt idx="25">
                  <c:v>44</c:v>
                </c:pt>
                <c:pt idx="26">
                  <c:v>78</c:v>
                </c:pt>
                <c:pt idx="27">
                  <c:v>20</c:v>
                </c:pt>
                <c:pt idx="28">
                  <c:v>30</c:v>
                </c:pt>
                <c:pt idx="29">
                  <c:v>31</c:v>
                </c:pt>
                <c:pt idx="30">
                  <c:v>36</c:v>
                </c:pt>
                <c:pt idx="31">
                  <c:v>60</c:v>
                </c:pt>
                <c:pt idx="32">
                  <c:v>53</c:v>
                </c:pt>
                <c:pt idx="33">
                  <c:v>16</c:v>
                </c:pt>
                <c:pt idx="34">
                  <c:v>47</c:v>
                </c:pt>
                <c:pt idx="35">
                  <c:v>21</c:v>
                </c:pt>
                <c:pt idx="36">
                  <c:v>4</c:v>
                </c:pt>
                <c:pt idx="37">
                  <c:v>79</c:v>
                </c:pt>
                <c:pt idx="38">
                  <c:v>80</c:v>
                </c:pt>
                <c:pt idx="39">
                  <c:v>48</c:v>
                </c:pt>
                <c:pt idx="40">
                  <c:v>68</c:v>
                </c:pt>
                <c:pt idx="41">
                  <c:v>81</c:v>
                </c:pt>
                <c:pt idx="42">
                  <c:v>82</c:v>
                </c:pt>
                <c:pt idx="43">
                  <c:v>17</c:v>
                </c:pt>
                <c:pt idx="44">
                  <c:v>5</c:v>
                </c:pt>
                <c:pt idx="45">
                  <c:v>8</c:v>
                </c:pt>
                <c:pt idx="46">
                  <c:v>49</c:v>
                </c:pt>
                <c:pt idx="47">
                  <c:v>57</c:v>
                </c:pt>
                <c:pt idx="48">
                  <c:v>40</c:v>
                </c:pt>
                <c:pt idx="49">
                  <c:v>39</c:v>
                </c:pt>
                <c:pt idx="50">
                  <c:v>12</c:v>
                </c:pt>
                <c:pt idx="51">
                  <c:v>32</c:v>
                </c:pt>
                <c:pt idx="52">
                  <c:v>83</c:v>
                </c:pt>
                <c:pt idx="53">
                  <c:v>22</c:v>
                </c:pt>
                <c:pt idx="54">
                  <c:v>51</c:v>
                </c:pt>
                <c:pt idx="55">
                  <c:v>54</c:v>
                </c:pt>
                <c:pt idx="56">
                  <c:v>1</c:v>
                </c:pt>
                <c:pt idx="57">
                  <c:v>84</c:v>
                </c:pt>
                <c:pt idx="58">
                  <c:v>65</c:v>
                </c:pt>
                <c:pt idx="59">
                  <c:v>85</c:v>
                </c:pt>
                <c:pt idx="60">
                  <c:v>2</c:v>
                </c:pt>
                <c:pt idx="61">
                  <c:v>33</c:v>
                </c:pt>
                <c:pt idx="62">
                  <c:v>69</c:v>
                </c:pt>
                <c:pt idx="63">
                  <c:v>86</c:v>
                </c:pt>
                <c:pt idx="64">
                  <c:v>87</c:v>
                </c:pt>
                <c:pt idx="65">
                  <c:v>50</c:v>
                </c:pt>
                <c:pt idx="66">
                  <c:v>18</c:v>
                </c:pt>
                <c:pt idx="67">
                  <c:v>6</c:v>
                </c:pt>
                <c:pt idx="68">
                  <c:v>19</c:v>
                </c:pt>
                <c:pt idx="69">
                  <c:v>64</c:v>
                </c:pt>
                <c:pt idx="70">
                  <c:v>88</c:v>
                </c:pt>
                <c:pt idx="71">
                  <c:v>10</c:v>
                </c:pt>
                <c:pt idx="72">
                  <c:v>89</c:v>
                </c:pt>
                <c:pt idx="73">
                  <c:v>90</c:v>
                </c:pt>
                <c:pt idx="74">
                  <c:v>58</c:v>
                </c:pt>
                <c:pt idx="75">
                  <c:v>15</c:v>
                </c:pt>
                <c:pt idx="76">
                  <c:v>91</c:v>
                </c:pt>
                <c:pt idx="77">
                  <c:v>59</c:v>
                </c:pt>
                <c:pt idx="78">
                  <c:v>92</c:v>
                </c:pt>
                <c:pt idx="79">
                  <c:v>45</c:v>
                </c:pt>
                <c:pt idx="80">
                  <c:v>63</c:v>
                </c:pt>
                <c:pt idx="81">
                  <c:v>38</c:v>
                </c:pt>
                <c:pt idx="82">
                  <c:v>14</c:v>
                </c:pt>
                <c:pt idx="83">
                  <c:v>42</c:v>
                </c:pt>
                <c:pt idx="84">
                  <c:v>41</c:v>
                </c:pt>
                <c:pt idx="85">
                  <c:v>55</c:v>
                </c:pt>
                <c:pt idx="86">
                  <c:v>25</c:v>
                </c:pt>
                <c:pt idx="87">
                  <c:v>46</c:v>
                </c:pt>
                <c:pt idx="88">
                  <c:v>34</c:v>
                </c:pt>
                <c:pt idx="89">
                  <c:v>93</c:v>
                </c:pt>
                <c:pt idx="90">
                  <c:v>52</c:v>
                </c:pt>
                <c:pt idx="91">
                  <c:v>70</c:v>
                </c:pt>
                <c:pt idx="92">
                  <c:v>7</c:v>
                </c:pt>
              </c:numCache>
            </c:numRef>
          </c:xVal>
          <c:yVal>
            <c:numRef>
              <c:f>'LL Revasc Data'!$V$2:$V$94</c:f>
              <c:numCache>
                <c:formatCode>General</c:formatCode>
                <c:ptCount val="93"/>
                <c:pt idx="0">
                  <c:v>61.000001430511475</c:v>
                </c:pt>
                <c:pt idx="1">
                  <c:v>0</c:v>
                </c:pt>
                <c:pt idx="2">
                  <c:v>51.999998092651367</c:v>
                </c:pt>
                <c:pt idx="3">
                  <c:v>31.999999284744263</c:v>
                </c:pt>
                <c:pt idx="4">
                  <c:v>67.000001668930054</c:v>
                </c:pt>
                <c:pt idx="5">
                  <c:v>47.999998927116394</c:v>
                </c:pt>
                <c:pt idx="6">
                  <c:v>36.000001430511475</c:v>
                </c:pt>
                <c:pt idx="7">
                  <c:v>0</c:v>
                </c:pt>
                <c:pt idx="8">
                  <c:v>57.999998331069946</c:v>
                </c:pt>
                <c:pt idx="9">
                  <c:v>0</c:v>
                </c:pt>
                <c:pt idx="10">
                  <c:v>0</c:v>
                </c:pt>
                <c:pt idx="11">
                  <c:v>58.99999737739563</c:v>
                </c:pt>
                <c:pt idx="12">
                  <c:v>31.000000238418579</c:v>
                </c:pt>
                <c:pt idx="13">
                  <c:v>57.999998331069946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86.000001430511475</c:v>
                </c:pt>
                <c:pt idx="18">
                  <c:v>68.000000715255737</c:v>
                </c:pt>
                <c:pt idx="19">
                  <c:v>72.000002861022949</c:v>
                </c:pt>
                <c:pt idx="20">
                  <c:v>52.999997138977051</c:v>
                </c:pt>
                <c:pt idx="21">
                  <c:v>62.000000476837158</c:v>
                </c:pt>
                <c:pt idx="22">
                  <c:v>0</c:v>
                </c:pt>
                <c:pt idx="23">
                  <c:v>58.99999737739563</c:v>
                </c:pt>
                <c:pt idx="24">
                  <c:v>0</c:v>
                </c:pt>
                <c:pt idx="25">
                  <c:v>46.99999988079071</c:v>
                </c:pt>
                <c:pt idx="26">
                  <c:v>0</c:v>
                </c:pt>
                <c:pt idx="27">
                  <c:v>62.999999523162842</c:v>
                </c:pt>
                <c:pt idx="28">
                  <c:v>56.999999284744263</c:v>
                </c:pt>
                <c:pt idx="29">
                  <c:v>55.000001192092896</c:v>
                </c:pt>
                <c:pt idx="30">
                  <c:v>52.999997138977051</c:v>
                </c:pt>
                <c:pt idx="31">
                  <c:v>33.000001311302185</c:v>
                </c:pt>
                <c:pt idx="32">
                  <c:v>37.999999523162842</c:v>
                </c:pt>
                <c:pt idx="33">
                  <c:v>63.999998569488525</c:v>
                </c:pt>
                <c:pt idx="34">
                  <c:v>43.999999761581421</c:v>
                </c:pt>
                <c:pt idx="35">
                  <c:v>62.999999523162842</c:v>
                </c:pt>
                <c:pt idx="36">
                  <c:v>83.99999737739563</c:v>
                </c:pt>
                <c:pt idx="37">
                  <c:v>0</c:v>
                </c:pt>
                <c:pt idx="38">
                  <c:v>0</c:v>
                </c:pt>
                <c:pt idx="39">
                  <c:v>41.999998688697815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63.999998569488525</c:v>
                </c:pt>
                <c:pt idx="44">
                  <c:v>81.999999284744263</c:v>
                </c:pt>
                <c:pt idx="45">
                  <c:v>73.000001907348633</c:v>
                </c:pt>
                <c:pt idx="46">
                  <c:v>40.999999642372131</c:v>
                </c:pt>
                <c:pt idx="47">
                  <c:v>36.000001430511475</c:v>
                </c:pt>
                <c:pt idx="48">
                  <c:v>50</c:v>
                </c:pt>
                <c:pt idx="49">
                  <c:v>50.999999046325684</c:v>
                </c:pt>
                <c:pt idx="50">
                  <c:v>68.000000715255737</c:v>
                </c:pt>
                <c:pt idx="51">
                  <c:v>55.000001192092896</c:v>
                </c:pt>
                <c:pt idx="52">
                  <c:v>0</c:v>
                </c:pt>
                <c:pt idx="53">
                  <c:v>62.999999523162842</c:v>
                </c:pt>
                <c:pt idx="54">
                  <c:v>40.000000596046448</c:v>
                </c:pt>
                <c:pt idx="55">
                  <c:v>37.999999523162842</c:v>
                </c:pt>
                <c:pt idx="56">
                  <c:v>100</c:v>
                </c:pt>
                <c:pt idx="57">
                  <c:v>0</c:v>
                </c:pt>
                <c:pt idx="58">
                  <c:v>7.9999998211860657</c:v>
                </c:pt>
                <c:pt idx="59">
                  <c:v>0</c:v>
                </c:pt>
                <c:pt idx="60">
                  <c:v>87.999999523162842</c:v>
                </c:pt>
                <c:pt idx="61">
                  <c:v>55.000001192092896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40.999999642372131</c:v>
                </c:pt>
                <c:pt idx="66">
                  <c:v>63.999998569488525</c:v>
                </c:pt>
                <c:pt idx="67">
                  <c:v>75.999999046325684</c:v>
                </c:pt>
                <c:pt idx="68">
                  <c:v>63.999998569488525</c:v>
                </c:pt>
                <c:pt idx="69">
                  <c:v>28.00000011920929</c:v>
                </c:pt>
                <c:pt idx="70">
                  <c:v>0</c:v>
                </c:pt>
                <c:pt idx="71">
                  <c:v>69.999998807907104</c:v>
                </c:pt>
                <c:pt idx="72">
                  <c:v>0</c:v>
                </c:pt>
                <c:pt idx="73">
                  <c:v>0</c:v>
                </c:pt>
                <c:pt idx="74">
                  <c:v>36.000001430511475</c:v>
                </c:pt>
                <c:pt idx="75">
                  <c:v>64.999997615814209</c:v>
                </c:pt>
                <c:pt idx="76">
                  <c:v>0</c:v>
                </c:pt>
                <c:pt idx="77">
                  <c:v>36.000001430511475</c:v>
                </c:pt>
                <c:pt idx="78">
                  <c:v>0</c:v>
                </c:pt>
                <c:pt idx="79">
                  <c:v>46.99999988079071</c:v>
                </c:pt>
                <c:pt idx="80">
                  <c:v>31.000000238418579</c:v>
                </c:pt>
                <c:pt idx="81">
                  <c:v>51.999998092651367</c:v>
                </c:pt>
                <c:pt idx="82">
                  <c:v>66.00000262260437</c:v>
                </c:pt>
                <c:pt idx="83">
                  <c:v>49.000000953674316</c:v>
                </c:pt>
                <c:pt idx="84">
                  <c:v>50</c:v>
                </c:pt>
                <c:pt idx="85">
                  <c:v>37.000000476837158</c:v>
                </c:pt>
                <c:pt idx="86">
                  <c:v>61.000001430511475</c:v>
                </c:pt>
                <c:pt idx="87">
                  <c:v>44.999998807907104</c:v>
                </c:pt>
                <c:pt idx="88">
                  <c:v>54.000002145767212</c:v>
                </c:pt>
                <c:pt idx="89">
                  <c:v>0</c:v>
                </c:pt>
                <c:pt idx="90">
                  <c:v>38.999998569488525</c:v>
                </c:pt>
                <c:pt idx="91">
                  <c:v>0</c:v>
                </c:pt>
                <c:pt idx="92">
                  <c:v>75.999999046325684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B4-4C25-A639-88193DB0F72E}"/>
            </c:ext>
          </c:extLst>
        </c:ser>
        <c:ser>
          <c:idx val="1"/>
          <c:order val="1"/>
          <c:tx>
            <c:strRef>
              <c:f>'LL Revascularisation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'LL Revascularisation Summary'!$AC$2</c:f>
                <c:numCache>
                  <c:formatCode>General</c:formatCode>
                  <c:ptCount val="1"/>
                  <c:pt idx="0">
                    <c:v>13.999998569488525</c:v>
                  </c:pt>
                </c:numCache>
              </c:numRef>
            </c:plus>
            <c:minus>
              <c:numRef>
                <c:f>'LL Revascularisation Summary'!$AB$2</c:f>
                <c:numCache>
                  <c:formatCode>General</c:formatCode>
                  <c:ptCount val="1"/>
                  <c:pt idx="0">
                    <c:v>15.000000596046448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'LL Revascularisation Summary'!$AD$2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'LL Revascularisation Summary'!$AA$2</c:f>
              <c:numCache>
                <c:formatCode>General</c:formatCode>
                <c:ptCount val="1"/>
                <c:pt idx="0">
                  <c:v>61.000001430511475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B4-4C25-A639-88193DB0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5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Types of Revascularisation Procedures Performed at Each Trust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'LL Revascularisation Summary'!$AH$1</c:f>
              <c:strCache>
                <c:ptCount val="1"/>
                <c:pt idx="0">
                  <c:v>Open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Summary'!$AG$2:$AG$65</c:f>
              <c:strCache>
                <c:ptCount val="64"/>
                <c:pt idx="0">
                  <c:v>RWA</c:v>
                </c:pt>
                <c:pt idx="1">
                  <c:v>RJ1</c:v>
                </c:pt>
                <c:pt idx="2">
                  <c:v>RRK</c:v>
                </c:pt>
                <c:pt idx="3">
                  <c:v>RCB</c:v>
                </c:pt>
                <c:pt idx="4">
                  <c:v>RTD</c:v>
                </c:pt>
                <c:pt idx="5">
                  <c:v>RXN</c:v>
                </c:pt>
                <c:pt idx="6">
                  <c:v>RTG</c:v>
                </c:pt>
                <c:pt idx="7">
                  <c:v>RXR</c:v>
                </c:pt>
                <c:pt idx="8">
                  <c:v>RWE</c:v>
                </c:pt>
                <c:pt idx="9">
                  <c:v>REM</c:v>
                </c:pt>
                <c:pt idx="10">
                  <c:v>RJE</c:v>
                </c:pt>
                <c:pt idx="11">
                  <c:v>R0A</c:v>
                </c:pt>
                <c:pt idx="12">
                  <c:v>RVJ</c:v>
                </c:pt>
                <c:pt idx="13">
                  <c:v>RYJ</c:v>
                </c:pt>
                <c:pt idx="14">
                  <c:v>RM3</c:v>
                </c:pt>
                <c:pt idx="15">
                  <c:v>ZT001</c:v>
                </c:pt>
                <c:pt idx="16">
                  <c:v>RWP</c:v>
                </c:pt>
                <c:pt idx="17">
                  <c:v>RNN</c:v>
                </c:pt>
                <c:pt idx="18">
                  <c:v>7A3</c:v>
                </c:pt>
                <c:pt idx="19">
                  <c:v>RJ7</c:v>
                </c:pt>
                <c:pt idx="20">
                  <c:v>RC9</c:v>
                </c:pt>
                <c:pt idx="21">
                  <c:v>RH8</c:v>
                </c:pt>
                <c:pt idx="22">
                  <c:v>RJR</c:v>
                </c:pt>
                <c:pt idx="23">
                  <c:v>R1K</c:v>
                </c:pt>
                <c:pt idx="24">
                  <c:v>RXW</c:v>
                </c:pt>
                <c:pt idx="25">
                  <c:v>RNS</c:v>
                </c:pt>
                <c:pt idx="26">
                  <c:v>RHM</c:v>
                </c:pt>
                <c:pt idx="27">
                  <c:v>RDE</c:v>
                </c:pt>
                <c:pt idx="28">
                  <c:v>REF</c:v>
                </c:pt>
                <c:pt idx="29">
                  <c:v>RWD</c:v>
                </c:pt>
                <c:pt idx="30">
                  <c:v>RNA</c:v>
                </c:pt>
                <c:pt idx="31">
                  <c:v>RH5</c:v>
                </c:pt>
                <c:pt idx="32">
                  <c:v>RF4</c:v>
                </c:pt>
                <c:pt idx="33">
                  <c:v>RGT</c:v>
                </c:pt>
                <c:pt idx="34">
                  <c:v>RKB</c:v>
                </c:pt>
                <c:pt idx="35">
                  <c:v>7A6</c:v>
                </c:pt>
                <c:pt idx="36">
                  <c:v>RJZ</c:v>
                </c:pt>
                <c:pt idx="37">
                  <c:v>RTE</c:v>
                </c:pt>
                <c:pt idx="38">
                  <c:v>RAJ</c:v>
                </c:pt>
                <c:pt idx="39">
                  <c:v>R0B</c:v>
                </c:pt>
                <c:pt idx="40">
                  <c:v>RM1</c:v>
                </c:pt>
                <c:pt idx="41">
                  <c:v>7A1</c:v>
                </c:pt>
                <c:pt idx="42">
                  <c:v>RVV</c:v>
                </c:pt>
                <c:pt idx="43">
                  <c:v>RYR</c:v>
                </c:pt>
                <c:pt idx="44">
                  <c:v>7A4</c:v>
                </c:pt>
                <c:pt idx="45">
                  <c:v>RHQ</c:v>
                </c:pt>
                <c:pt idx="46">
                  <c:v>RWH</c:v>
                </c:pt>
                <c:pt idx="47">
                  <c:v>RR8</c:v>
                </c:pt>
                <c:pt idx="48">
                  <c:v>R1H</c:v>
                </c:pt>
                <c:pt idx="49">
                  <c:v>RTR</c:v>
                </c:pt>
                <c:pt idx="50">
                  <c:v>SH999</c:v>
                </c:pt>
                <c:pt idx="51">
                  <c:v>RDU</c:v>
                </c:pt>
                <c:pt idx="52">
                  <c:v>R0D</c:v>
                </c:pt>
                <c:pt idx="53">
                  <c:v>RWG</c:v>
                </c:pt>
                <c:pt idx="54">
                  <c:v>SG999</c:v>
                </c:pt>
                <c:pt idx="55">
                  <c:v>RX1</c:v>
                </c:pt>
                <c:pt idx="56">
                  <c:v>SN999</c:v>
                </c:pt>
                <c:pt idx="57">
                  <c:v>SL999</c:v>
                </c:pt>
                <c:pt idx="58">
                  <c:v>ST999</c:v>
                </c:pt>
                <c:pt idx="59">
                  <c:v>RTH</c:v>
                </c:pt>
                <c:pt idx="60">
                  <c:v>RK9</c:v>
                </c:pt>
                <c:pt idx="61">
                  <c:v>RAE</c:v>
                </c:pt>
                <c:pt idx="62">
                  <c:v>RPA</c:v>
                </c:pt>
                <c:pt idx="63">
                  <c:v>SS999</c:v>
                </c:pt>
              </c:strCache>
            </c:strRef>
          </c:cat>
          <c:val>
            <c:numRef>
              <c:f>'LL Revascularisation Summary'!$AH$2:$AH$65</c:f>
              <c:numCache>
                <c:formatCode>General</c:formatCode>
                <c:ptCount val="64"/>
                <c:pt idx="0">
                  <c:v>125</c:v>
                </c:pt>
                <c:pt idx="1">
                  <c:v>75</c:v>
                </c:pt>
                <c:pt idx="2">
                  <c:v>99</c:v>
                </c:pt>
                <c:pt idx="3">
                  <c:v>127</c:v>
                </c:pt>
                <c:pt idx="4">
                  <c:v>121</c:v>
                </c:pt>
                <c:pt idx="5">
                  <c:v>89</c:v>
                </c:pt>
                <c:pt idx="6">
                  <c:v>61</c:v>
                </c:pt>
                <c:pt idx="7">
                  <c:v>84</c:v>
                </c:pt>
                <c:pt idx="8">
                  <c:v>54</c:v>
                </c:pt>
                <c:pt idx="9">
                  <c:v>123</c:v>
                </c:pt>
                <c:pt idx="10">
                  <c:v>108</c:v>
                </c:pt>
                <c:pt idx="11">
                  <c:v>88</c:v>
                </c:pt>
                <c:pt idx="12">
                  <c:v>78</c:v>
                </c:pt>
                <c:pt idx="13">
                  <c:v>110</c:v>
                </c:pt>
                <c:pt idx="14">
                  <c:v>94</c:v>
                </c:pt>
                <c:pt idx="15">
                  <c:v>110</c:v>
                </c:pt>
                <c:pt idx="16">
                  <c:v>93</c:v>
                </c:pt>
                <c:pt idx="17">
                  <c:v>64</c:v>
                </c:pt>
                <c:pt idx="18">
                  <c:v>111</c:v>
                </c:pt>
                <c:pt idx="19">
                  <c:v>23</c:v>
                </c:pt>
                <c:pt idx="20">
                  <c:v>72</c:v>
                </c:pt>
                <c:pt idx="21">
                  <c:v>82</c:v>
                </c:pt>
                <c:pt idx="22">
                  <c:v>102</c:v>
                </c:pt>
                <c:pt idx="23">
                  <c:v>5</c:v>
                </c:pt>
                <c:pt idx="24">
                  <c:v>63</c:v>
                </c:pt>
                <c:pt idx="25">
                  <c:v>54</c:v>
                </c:pt>
                <c:pt idx="26">
                  <c:v>111</c:v>
                </c:pt>
                <c:pt idx="27">
                  <c:v>40</c:v>
                </c:pt>
                <c:pt idx="28">
                  <c:v>52</c:v>
                </c:pt>
                <c:pt idx="29">
                  <c:v>39</c:v>
                </c:pt>
                <c:pt idx="30">
                  <c:v>80</c:v>
                </c:pt>
                <c:pt idx="31">
                  <c:v>152</c:v>
                </c:pt>
                <c:pt idx="32">
                  <c:v>31</c:v>
                </c:pt>
                <c:pt idx="33">
                  <c:v>109</c:v>
                </c:pt>
                <c:pt idx="34">
                  <c:v>78</c:v>
                </c:pt>
                <c:pt idx="35">
                  <c:v>75</c:v>
                </c:pt>
                <c:pt idx="36">
                  <c:v>69</c:v>
                </c:pt>
                <c:pt idx="37">
                  <c:v>60</c:v>
                </c:pt>
                <c:pt idx="38">
                  <c:v>56</c:v>
                </c:pt>
                <c:pt idx="39">
                  <c:v>25</c:v>
                </c:pt>
                <c:pt idx="40">
                  <c:v>34</c:v>
                </c:pt>
                <c:pt idx="41">
                  <c:v>59</c:v>
                </c:pt>
                <c:pt idx="42">
                  <c:v>25</c:v>
                </c:pt>
                <c:pt idx="43">
                  <c:v>84</c:v>
                </c:pt>
                <c:pt idx="44">
                  <c:v>51</c:v>
                </c:pt>
                <c:pt idx="45">
                  <c:v>49</c:v>
                </c:pt>
                <c:pt idx="46">
                  <c:v>22</c:v>
                </c:pt>
                <c:pt idx="47">
                  <c:v>55</c:v>
                </c:pt>
                <c:pt idx="48">
                  <c:v>17</c:v>
                </c:pt>
                <c:pt idx="49">
                  <c:v>59</c:v>
                </c:pt>
                <c:pt idx="50">
                  <c:v>61</c:v>
                </c:pt>
                <c:pt idx="51">
                  <c:v>35</c:v>
                </c:pt>
                <c:pt idx="52">
                  <c:v>54</c:v>
                </c:pt>
                <c:pt idx="53">
                  <c:v>37</c:v>
                </c:pt>
                <c:pt idx="54">
                  <c:v>36</c:v>
                </c:pt>
                <c:pt idx="55">
                  <c:v>49</c:v>
                </c:pt>
                <c:pt idx="56">
                  <c:v>31</c:v>
                </c:pt>
                <c:pt idx="57">
                  <c:v>43</c:v>
                </c:pt>
                <c:pt idx="58">
                  <c:v>37</c:v>
                </c:pt>
                <c:pt idx="59">
                  <c:v>34</c:v>
                </c:pt>
                <c:pt idx="60">
                  <c:v>43</c:v>
                </c:pt>
                <c:pt idx="61">
                  <c:v>30</c:v>
                </c:pt>
                <c:pt idx="62">
                  <c:v>27</c:v>
                </c:pt>
                <c:pt idx="6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5F0B-4DF1-8C8F-61CC73068848}"/>
            </c:ext>
          </c:extLst>
        </c:ser>
        <c:ser>
          <c:idx val="1"/>
          <c:order val="1"/>
          <c:tx>
            <c:strRef>
              <c:f>'LL Revascularisation Summary'!$AI$1</c:f>
              <c:strCache>
                <c:ptCount val="1"/>
                <c:pt idx="0">
                  <c:v>Hybrid 2021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Summary'!$AG$2:$AG$65</c:f>
              <c:strCache>
                <c:ptCount val="64"/>
                <c:pt idx="0">
                  <c:v>RWA</c:v>
                </c:pt>
                <c:pt idx="1">
                  <c:v>RJ1</c:v>
                </c:pt>
                <c:pt idx="2">
                  <c:v>RRK</c:v>
                </c:pt>
                <c:pt idx="3">
                  <c:v>RCB</c:v>
                </c:pt>
                <c:pt idx="4">
                  <c:v>RTD</c:v>
                </c:pt>
                <c:pt idx="5">
                  <c:v>RXN</c:v>
                </c:pt>
                <c:pt idx="6">
                  <c:v>RTG</c:v>
                </c:pt>
                <c:pt idx="7">
                  <c:v>RXR</c:v>
                </c:pt>
                <c:pt idx="8">
                  <c:v>RWE</c:v>
                </c:pt>
                <c:pt idx="9">
                  <c:v>REM</c:v>
                </c:pt>
                <c:pt idx="10">
                  <c:v>RJE</c:v>
                </c:pt>
                <c:pt idx="11">
                  <c:v>R0A</c:v>
                </c:pt>
                <c:pt idx="12">
                  <c:v>RVJ</c:v>
                </c:pt>
                <c:pt idx="13">
                  <c:v>RYJ</c:v>
                </c:pt>
                <c:pt idx="14">
                  <c:v>RM3</c:v>
                </c:pt>
                <c:pt idx="15">
                  <c:v>ZT001</c:v>
                </c:pt>
                <c:pt idx="16">
                  <c:v>RWP</c:v>
                </c:pt>
                <c:pt idx="17">
                  <c:v>RNN</c:v>
                </c:pt>
                <c:pt idx="18">
                  <c:v>7A3</c:v>
                </c:pt>
                <c:pt idx="19">
                  <c:v>RJ7</c:v>
                </c:pt>
                <c:pt idx="20">
                  <c:v>RC9</c:v>
                </c:pt>
                <c:pt idx="21">
                  <c:v>RH8</c:v>
                </c:pt>
                <c:pt idx="22">
                  <c:v>RJR</c:v>
                </c:pt>
                <c:pt idx="23">
                  <c:v>R1K</c:v>
                </c:pt>
                <c:pt idx="24">
                  <c:v>RXW</c:v>
                </c:pt>
                <c:pt idx="25">
                  <c:v>RNS</c:v>
                </c:pt>
                <c:pt idx="26">
                  <c:v>RHM</c:v>
                </c:pt>
                <c:pt idx="27">
                  <c:v>RDE</c:v>
                </c:pt>
                <c:pt idx="28">
                  <c:v>REF</c:v>
                </c:pt>
                <c:pt idx="29">
                  <c:v>RWD</c:v>
                </c:pt>
                <c:pt idx="30">
                  <c:v>RNA</c:v>
                </c:pt>
                <c:pt idx="31">
                  <c:v>RH5</c:v>
                </c:pt>
                <c:pt idx="32">
                  <c:v>RF4</c:v>
                </c:pt>
                <c:pt idx="33">
                  <c:v>RGT</c:v>
                </c:pt>
                <c:pt idx="34">
                  <c:v>RKB</c:v>
                </c:pt>
                <c:pt idx="35">
                  <c:v>7A6</c:v>
                </c:pt>
                <c:pt idx="36">
                  <c:v>RJZ</c:v>
                </c:pt>
                <c:pt idx="37">
                  <c:v>RTE</c:v>
                </c:pt>
                <c:pt idx="38">
                  <c:v>RAJ</c:v>
                </c:pt>
                <c:pt idx="39">
                  <c:v>R0B</c:v>
                </c:pt>
                <c:pt idx="40">
                  <c:v>RM1</c:v>
                </c:pt>
                <c:pt idx="41">
                  <c:v>7A1</c:v>
                </c:pt>
                <c:pt idx="42">
                  <c:v>RVV</c:v>
                </c:pt>
                <c:pt idx="43">
                  <c:v>RYR</c:v>
                </c:pt>
                <c:pt idx="44">
                  <c:v>7A4</c:v>
                </c:pt>
                <c:pt idx="45">
                  <c:v>RHQ</c:v>
                </c:pt>
                <c:pt idx="46">
                  <c:v>RWH</c:v>
                </c:pt>
                <c:pt idx="47">
                  <c:v>RR8</c:v>
                </c:pt>
                <c:pt idx="48">
                  <c:v>R1H</c:v>
                </c:pt>
                <c:pt idx="49">
                  <c:v>RTR</c:v>
                </c:pt>
                <c:pt idx="50">
                  <c:v>SH999</c:v>
                </c:pt>
                <c:pt idx="51">
                  <c:v>RDU</c:v>
                </c:pt>
                <c:pt idx="52">
                  <c:v>R0D</c:v>
                </c:pt>
                <c:pt idx="53">
                  <c:v>RWG</c:v>
                </c:pt>
                <c:pt idx="54">
                  <c:v>SG999</c:v>
                </c:pt>
                <c:pt idx="55">
                  <c:v>RX1</c:v>
                </c:pt>
                <c:pt idx="56">
                  <c:v>SN999</c:v>
                </c:pt>
                <c:pt idx="57">
                  <c:v>SL999</c:v>
                </c:pt>
                <c:pt idx="58">
                  <c:v>ST999</c:v>
                </c:pt>
                <c:pt idx="59">
                  <c:v>RTH</c:v>
                </c:pt>
                <c:pt idx="60">
                  <c:v>RK9</c:v>
                </c:pt>
                <c:pt idx="61">
                  <c:v>RAE</c:v>
                </c:pt>
                <c:pt idx="62">
                  <c:v>RPA</c:v>
                </c:pt>
                <c:pt idx="63">
                  <c:v>SS999</c:v>
                </c:pt>
              </c:strCache>
            </c:strRef>
          </c:cat>
          <c:val>
            <c:numRef>
              <c:f>'LL Revascularisation Summary'!$AI$2:$AI$65</c:f>
              <c:numCache>
                <c:formatCode>General</c:formatCode>
                <c:ptCount val="64"/>
                <c:pt idx="0">
                  <c:v>7</c:v>
                </c:pt>
                <c:pt idx="1">
                  <c:v>88</c:v>
                </c:pt>
                <c:pt idx="2">
                  <c:v>53</c:v>
                </c:pt>
                <c:pt idx="3">
                  <c:v>8</c:v>
                </c:pt>
                <c:pt idx="4">
                  <c:v>60</c:v>
                </c:pt>
                <c:pt idx="5">
                  <c:v>71</c:v>
                </c:pt>
                <c:pt idx="6">
                  <c:v>31</c:v>
                </c:pt>
                <c:pt idx="7">
                  <c:v>63</c:v>
                </c:pt>
                <c:pt idx="8">
                  <c:v>90</c:v>
                </c:pt>
                <c:pt idx="9">
                  <c:v>48</c:v>
                </c:pt>
                <c:pt idx="10">
                  <c:v>25</c:v>
                </c:pt>
                <c:pt idx="11">
                  <c:v>69</c:v>
                </c:pt>
                <c:pt idx="12">
                  <c:v>52</c:v>
                </c:pt>
                <c:pt idx="13">
                  <c:v>13</c:v>
                </c:pt>
                <c:pt idx="14">
                  <c:v>102</c:v>
                </c:pt>
                <c:pt idx="15">
                  <c:v>40</c:v>
                </c:pt>
                <c:pt idx="16">
                  <c:v>27</c:v>
                </c:pt>
                <c:pt idx="17">
                  <c:v>10</c:v>
                </c:pt>
                <c:pt idx="18">
                  <c:v>9</c:v>
                </c:pt>
                <c:pt idx="19">
                  <c:v>48</c:v>
                </c:pt>
                <c:pt idx="20">
                  <c:v>23</c:v>
                </c:pt>
                <c:pt idx="21">
                  <c:v>0</c:v>
                </c:pt>
                <c:pt idx="22">
                  <c:v>44</c:v>
                </c:pt>
                <c:pt idx="23">
                  <c:v>33</c:v>
                </c:pt>
                <c:pt idx="24">
                  <c:v>13</c:v>
                </c:pt>
                <c:pt idx="25">
                  <c:v>14</c:v>
                </c:pt>
                <c:pt idx="26">
                  <c:v>63</c:v>
                </c:pt>
                <c:pt idx="27">
                  <c:v>47</c:v>
                </c:pt>
                <c:pt idx="28">
                  <c:v>14</c:v>
                </c:pt>
                <c:pt idx="29">
                  <c:v>1</c:v>
                </c:pt>
                <c:pt idx="30">
                  <c:v>17</c:v>
                </c:pt>
                <c:pt idx="31">
                  <c:v>16</c:v>
                </c:pt>
                <c:pt idx="32">
                  <c:v>7</c:v>
                </c:pt>
                <c:pt idx="33">
                  <c:v>29</c:v>
                </c:pt>
                <c:pt idx="34">
                  <c:v>7</c:v>
                </c:pt>
                <c:pt idx="35">
                  <c:v>13</c:v>
                </c:pt>
                <c:pt idx="36">
                  <c:v>16</c:v>
                </c:pt>
                <c:pt idx="37">
                  <c:v>27</c:v>
                </c:pt>
                <c:pt idx="38">
                  <c:v>29</c:v>
                </c:pt>
                <c:pt idx="39">
                  <c:v>10</c:v>
                </c:pt>
                <c:pt idx="40">
                  <c:v>20</c:v>
                </c:pt>
                <c:pt idx="41">
                  <c:v>38</c:v>
                </c:pt>
                <c:pt idx="42">
                  <c:v>29</c:v>
                </c:pt>
                <c:pt idx="43">
                  <c:v>0</c:v>
                </c:pt>
                <c:pt idx="44">
                  <c:v>4</c:v>
                </c:pt>
                <c:pt idx="45">
                  <c:v>6</c:v>
                </c:pt>
                <c:pt idx="46">
                  <c:v>19</c:v>
                </c:pt>
                <c:pt idx="47">
                  <c:v>16</c:v>
                </c:pt>
                <c:pt idx="48">
                  <c:v>8</c:v>
                </c:pt>
                <c:pt idx="49">
                  <c:v>5</c:v>
                </c:pt>
                <c:pt idx="50">
                  <c:v>2</c:v>
                </c:pt>
                <c:pt idx="51">
                  <c:v>24</c:v>
                </c:pt>
                <c:pt idx="52">
                  <c:v>6</c:v>
                </c:pt>
                <c:pt idx="53">
                  <c:v>9</c:v>
                </c:pt>
                <c:pt idx="54">
                  <c:v>16</c:v>
                </c:pt>
                <c:pt idx="55">
                  <c:v>1</c:v>
                </c:pt>
                <c:pt idx="56">
                  <c:v>8</c:v>
                </c:pt>
                <c:pt idx="57">
                  <c:v>5</c:v>
                </c:pt>
                <c:pt idx="58">
                  <c:v>7</c:v>
                </c:pt>
                <c:pt idx="59">
                  <c:v>6</c:v>
                </c:pt>
                <c:pt idx="60">
                  <c:v>1</c:v>
                </c:pt>
                <c:pt idx="61">
                  <c:v>7</c:v>
                </c:pt>
                <c:pt idx="62">
                  <c:v>9</c:v>
                </c:pt>
                <c:pt idx="6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5F0B-4DF1-8C8F-61CC73068848}"/>
            </c:ext>
          </c:extLst>
        </c:ser>
        <c:ser>
          <c:idx val="2"/>
          <c:order val="2"/>
          <c:tx>
            <c:strRef>
              <c:f>'LL Revascularisation Summary'!$AJ$1</c:f>
              <c:strCache>
                <c:ptCount val="1"/>
                <c:pt idx="0">
                  <c:v>Endovascular 2021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Summary'!$AG$2:$AG$65</c:f>
              <c:strCache>
                <c:ptCount val="64"/>
                <c:pt idx="0">
                  <c:v>RWA</c:v>
                </c:pt>
                <c:pt idx="1">
                  <c:v>RJ1</c:v>
                </c:pt>
                <c:pt idx="2">
                  <c:v>RRK</c:v>
                </c:pt>
                <c:pt idx="3">
                  <c:v>RCB</c:v>
                </c:pt>
                <c:pt idx="4">
                  <c:v>RTD</c:v>
                </c:pt>
                <c:pt idx="5">
                  <c:v>RXN</c:v>
                </c:pt>
                <c:pt idx="6">
                  <c:v>RTG</c:v>
                </c:pt>
                <c:pt idx="7">
                  <c:v>RXR</c:v>
                </c:pt>
                <c:pt idx="8">
                  <c:v>RWE</c:v>
                </c:pt>
                <c:pt idx="9">
                  <c:v>REM</c:v>
                </c:pt>
                <c:pt idx="10">
                  <c:v>RJE</c:v>
                </c:pt>
                <c:pt idx="11">
                  <c:v>R0A</c:v>
                </c:pt>
                <c:pt idx="12">
                  <c:v>RVJ</c:v>
                </c:pt>
                <c:pt idx="13">
                  <c:v>RYJ</c:v>
                </c:pt>
                <c:pt idx="14">
                  <c:v>RM3</c:v>
                </c:pt>
                <c:pt idx="15">
                  <c:v>ZT001</c:v>
                </c:pt>
                <c:pt idx="16">
                  <c:v>RWP</c:v>
                </c:pt>
                <c:pt idx="17">
                  <c:v>RNN</c:v>
                </c:pt>
                <c:pt idx="18">
                  <c:v>7A3</c:v>
                </c:pt>
                <c:pt idx="19">
                  <c:v>RJ7</c:v>
                </c:pt>
                <c:pt idx="20">
                  <c:v>RC9</c:v>
                </c:pt>
                <c:pt idx="21">
                  <c:v>RH8</c:v>
                </c:pt>
                <c:pt idx="22">
                  <c:v>RJR</c:v>
                </c:pt>
                <c:pt idx="23">
                  <c:v>R1K</c:v>
                </c:pt>
                <c:pt idx="24">
                  <c:v>RXW</c:v>
                </c:pt>
                <c:pt idx="25">
                  <c:v>RNS</c:v>
                </c:pt>
                <c:pt idx="26">
                  <c:v>RHM</c:v>
                </c:pt>
                <c:pt idx="27">
                  <c:v>RDE</c:v>
                </c:pt>
                <c:pt idx="28">
                  <c:v>REF</c:v>
                </c:pt>
                <c:pt idx="29">
                  <c:v>RWD</c:v>
                </c:pt>
                <c:pt idx="30">
                  <c:v>RNA</c:v>
                </c:pt>
                <c:pt idx="31">
                  <c:v>RH5</c:v>
                </c:pt>
                <c:pt idx="32">
                  <c:v>RF4</c:v>
                </c:pt>
                <c:pt idx="33">
                  <c:v>RGT</c:v>
                </c:pt>
                <c:pt idx="34">
                  <c:v>RKB</c:v>
                </c:pt>
                <c:pt idx="35">
                  <c:v>7A6</c:v>
                </c:pt>
                <c:pt idx="36">
                  <c:v>RJZ</c:v>
                </c:pt>
                <c:pt idx="37">
                  <c:v>RTE</c:v>
                </c:pt>
                <c:pt idx="38">
                  <c:v>RAJ</c:v>
                </c:pt>
                <c:pt idx="39">
                  <c:v>R0B</c:v>
                </c:pt>
                <c:pt idx="40">
                  <c:v>RM1</c:v>
                </c:pt>
                <c:pt idx="41">
                  <c:v>7A1</c:v>
                </c:pt>
                <c:pt idx="42">
                  <c:v>RVV</c:v>
                </c:pt>
                <c:pt idx="43">
                  <c:v>RYR</c:v>
                </c:pt>
                <c:pt idx="44">
                  <c:v>7A4</c:v>
                </c:pt>
                <c:pt idx="45">
                  <c:v>RHQ</c:v>
                </c:pt>
                <c:pt idx="46">
                  <c:v>RWH</c:v>
                </c:pt>
                <c:pt idx="47">
                  <c:v>RR8</c:v>
                </c:pt>
                <c:pt idx="48">
                  <c:v>R1H</c:v>
                </c:pt>
                <c:pt idx="49">
                  <c:v>RTR</c:v>
                </c:pt>
                <c:pt idx="50">
                  <c:v>SH999</c:v>
                </c:pt>
                <c:pt idx="51">
                  <c:v>RDU</c:v>
                </c:pt>
                <c:pt idx="52">
                  <c:v>R0D</c:v>
                </c:pt>
                <c:pt idx="53">
                  <c:v>RWG</c:v>
                </c:pt>
                <c:pt idx="54">
                  <c:v>SG999</c:v>
                </c:pt>
                <c:pt idx="55">
                  <c:v>RX1</c:v>
                </c:pt>
                <c:pt idx="56">
                  <c:v>SN999</c:v>
                </c:pt>
                <c:pt idx="57">
                  <c:v>SL999</c:v>
                </c:pt>
                <c:pt idx="58">
                  <c:v>ST999</c:v>
                </c:pt>
                <c:pt idx="59">
                  <c:v>RTH</c:v>
                </c:pt>
                <c:pt idx="60">
                  <c:v>RK9</c:v>
                </c:pt>
                <c:pt idx="61">
                  <c:v>RAE</c:v>
                </c:pt>
                <c:pt idx="62">
                  <c:v>RPA</c:v>
                </c:pt>
                <c:pt idx="63">
                  <c:v>SS999</c:v>
                </c:pt>
              </c:strCache>
            </c:strRef>
          </c:cat>
          <c:val>
            <c:numRef>
              <c:f>'LL Revascularisation Summary'!$AJ$2:$AJ$65</c:f>
              <c:numCache>
                <c:formatCode>General</c:formatCode>
                <c:ptCount val="64"/>
                <c:pt idx="0">
                  <c:v>386</c:v>
                </c:pt>
                <c:pt idx="1">
                  <c:v>345</c:v>
                </c:pt>
                <c:pt idx="2">
                  <c:v>316</c:v>
                </c:pt>
                <c:pt idx="3">
                  <c:v>294</c:v>
                </c:pt>
                <c:pt idx="4">
                  <c:v>221</c:v>
                </c:pt>
                <c:pt idx="5">
                  <c:v>221</c:v>
                </c:pt>
                <c:pt idx="6">
                  <c:v>276</c:v>
                </c:pt>
                <c:pt idx="7">
                  <c:v>219</c:v>
                </c:pt>
                <c:pt idx="8">
                  <c:v>207</c:v>
                </c:pt>
                <c:pt idx="9">
                  <c:v>173</c:v>
                </c:pt>
                <c:pt idx="10">
                  <c:v>192</c:v>
                </c:pt>
                <c:pt idx="11">
                  <c:v>167</c:v>
                </c:pt>
                <c:pt idx="12">
                  <c:v>187</c:v>
                </c:pt>
                <c:pt idx="13">
                  <c:v>183</c:v>
                </c:pt>
                <c:pt idx="14">
                  <c:v>100</c:v>
                </c:pt>
                <c:pt idx="15">
                  <c:v>108</c:v>
                </c:pt>
                <c:pt idx="16">
                  <c:v>136</c:v>
                </c:pt>
                <c:pt idx="17">
                  <c:v>172</c:v>
                </c:pt>
                <c:pt idx="18">
                  <c:v>119</c:v>
                </c:pt>
                <c:pt idx="19">
                  <c:v>154</c:v>
                </c:pt>
                <c:pt idx="20">
                  <c:v>127</c:v>
                </c:pt>
                <c:pt idx="21">
                  <c:v>132</c:v>
                </c:pt>
                <c:pt idx="22">
                  <c:v>66</c:v>
                </c:pt>
                <c:pt idx="23">
                  <c:v>171</c:v>
                </c:pt>
                <c:pt idx="24">
                  <c:v>130</c:v>
                </c:pt>
                <c:pt idx="25">
                  <c:v>125</c:v>
                </c:pt>
                <c:pt idx="26">
                  <c:v>14</c:v>
                </c:pt>
                <c:pt idx="27">
                  <c:v>100</c:v>
                </c:pt>
                <c:pt idx="28">
                  <c:v>120</c:v>
                </c:pt>
                <c:pt idx="29">
                  <c:v>140</c:v>
                </c:pt>
                <c:pt idx="30">
                  <c:v>78</c:v>
                </c:pt>
                <c:pt idx="31">
                  <c:v>4</c:v>
                </c:pt>
                <c:pt idx="32">
                  <c:v>127</c:v>
                </c:pt>
                <c:pt idx="33">
                  <c:v>18</c:v>
                </c:pt>
                <c:pt idx="34">
                  <c:v>67</c:v>
                </c:pt>
                <c:pt idx="35">
                  <c:v>63</c:v>
                </c:pt>
                <c:pt idx="36">
                  <c:v>50</c:v>
                </c:pt>
                <c:pt idx="37">
                  <c:v>31</c:v>
                </c:pt>
                <c:pt idx="38">
                  <c:v>27</c:v>
                </c:pt>
                <c:pt idx="39">
                  <c:v>77</c:v>
                </c:pt>
                <c:pt idx="40">
                  <c:v>50</c:v>
                </c:pt>
                <c:pt idx="41">
                  <c:v>2</c:v>
                </c:pt>
                <c:pt idx="42">
                  <c:v>35</c:v>
                </c:pt>
                <c:pt idx="43">
                  <c:v>0</c:v>
                </c:pt>
                <c:pt idx="44">
                  <c:v>27</c:v>
                </c:pt>
                <c:pt idx="45">
                  <c:v>19</c:v>
                </c:pt>
                <c:pt idx="46">
                  <c:v>32</c:v>
                </c:pt>
                <c:pt idx="47">
                  <c:v>1</c:v>
                </c:pt>
                <c:pt idx="48">
                  <c:v>44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  <c:pt idx="52">
                  <c:v>0</c:v>
                </c:pt>
                <c:pt idx="53">
                  <c:v>8</c:v>
                </c:pt>
                <c:pt idx="54">
                  <c:v>1</c:v>
                </c:pt>
                <c:pt idx="55">
                  <c:v>0</c:v>
                </c:pt>
                <c:pt idx="56">
                  <c:v>9</c:v>
                </c:pt>
                <c:pt idx="57">
                  <c:v>0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5F0B-4DF1-8C8F-61CC7306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186136"/>
        <c:axId val="606183840"/>
      </c:barChart>
      <c:scatterChart>
        <c:scatterStyle val="lineMarker"/>
        <c:varyColors val="0"/>
        <c:ser>
          <c:idx val="3"/>
          <c:order val="3"/>
          <c:tx>
            <c:strRef>
              <c:f>'LL Revascularisation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'LL Revascularisation Summary'!$AA$6</c:f>
              <c:numCache>
                <c:formatCode>General</c:formatCode>
                <c:ptCount val="1"/>
                <c:pt idx="0">
                  <c:v>36</c:v>
                </c:pt>
              </c:numCache>
            </c:numRef>
          </c:xVal>
          <c:yVal>
            <c:numRef>
              <c:f>'LL Revascularisation Summary'!$AB$6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5F0B-4DF1-8C8F-61CC7306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'Lower Limb Angioplasty'!$K$1</c:f>
          <c:strCache>
            <c:ptCount val="1"/>
            <c:pt idx="0">
              <c:v>Day Cases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465108885538578E-2"/>
          <c:y val="9.5993189165075848E-2"/>
          <c:w val="0.95681694014630059"/>
          <c:h val="0.778799705534012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'Lower Limb Angioplasty'!$K$1</c:f>
              <c:strCache>
                <c:ptCount val="1"/>
                <c:pt idx="0">
                  <c:v>Day Cases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stdErr"/>
            <c:noEndCap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1"/>
            <c:plus>
              <c:numRef>
                <c:f>'Lower Limb Angioplasty'!$R$2:$R$94</c:f>
                <c:numCache>
                  <c:formatCode>General</c:formatCode>
                  <c:ptCount val="93"/>
                  <c:pt idx="0">
                    <c:v>0.18000000476837158</c:v>
                  </c:pt>
                  <c:pt idx="1">
                    <c:v>0</c:v>
                  </c:pt>
                  <c:pt idx="2">
                    <c:v>0.1099999952316284</c:v>
                  </c:pt>
                  <c:pt idx="3">
                    <c:v>0</c:v>
                  </c:pt>
                  <c:pt idx="4">
                    <c:v>4.9999988079071023E-2</c:v>
                  </c:pt>
                  <c:pt idx="5">
                    <c:v>6.9999997615814213E-2</c:v>
                  </c:pt>
                  <c:pt idx="6">
                    <c:v>0</c:v>
                  </c:pt>
                  <c:pt idx="7">
                    <c:v>7.0000019073486297E-2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0.29999999046325687</c:v>
                  </c:pt>
                  <c:pt idx="12">
                    <c:v>0.25999999046325684</c:v>
                  </c:pt>
                  <c:pt idx="13">
                    <c:v>0.1499999713897705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0.15999999761581418</c:v>
                  </c:pt>
                  <c:pt idx="18">
                    <c:v>0.17999999046325682</c:v>
                  </c:pt>
                  <c:pt idx="19">
                    <c:v>7.0000019073486297E-2</c:v>
                  </c:pt>
                  <c:pt idx="20">
                    <c:v>5.000000074505806E-2</c:v>
                  </c:pt>
                  <c:pt idx="21">
                    <c:v>0</c:v>
                  </c:pt>
                  <c:pt idx="22">
                    <c:v>0</c:v>
                  </c:pt>
                  <c:pt idx="23">
                    <c:v>0.22999999880790711</c:v>
                  </c:pt>
                  <c:pt idx="24">
                    <c:v>0</c:v>
                  </c:pt>
                  <c:pt idx="25">
                    <c:v>4.9999995231628416E-2</c:v>
                  </c:pt>
                  <c:pt idx="26">
                    <c:v>0.26000002145767209</c:v>
                  </c:pt>
                  <c:pt idx="27">
                    <c:v>4.9999988079071023E-2</c:v>
                  </c:pt>
                  <c:pt idx="28">
                    <c:v>8.9999985694885209E-2</c:v>
                  </c:pt>
                  <c:pt idx="29">
                    <c:v>0.15999997377395631</c:v>
                  </c:pt>
                  <c:pt idx="30">
                    <c:v>8.0000002384185809E-2</c:v>
                  </c:pt>
                  <c:pt idx="31">
                    <c:v>0</c:v>
                  </c:pt>
                  <c:pt idx="32">
                    <c:v>9.9999971389770514E-2</c:v>
                  </c:pt>
                  <c:pt idx="33">
                    <c:v>9.9999978542327894E-2</c:v>
                  </c:pt>
                  <c:pt idx="34">
                    <c:v>7.999999999999996E-2</c:v>
                  </c:pt>
                  <c:pt idx="35">
                    <c:v>0</c:v>
                  </c:pt>
                  <c:pt idx="36">
                    <c:v>0.21000001907348631</c:v>
                  </c:pt>
                  <c:pt idx="37">
                    <c:v>0.18000002384185787</c:v>
                  </c:pt>
                  <c:pt idx="38">
                    <c:v>0</c:v>
                  </c:pt>
                  <c:pt idx="39">
                    <c:v>6.0000004768371529E-2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0.19000000953674318</c:v>
                  </c:pt>
                  <c:pt idx="50">
                    <c:v>8.0000011920928982E-2</c:v>
                  </c:pt>
                  <c:pt idx="51">
                    <c:v>5.0000016689300542E-2</c:v>
                  </c:pt>
                  <c:pt idx="52">
                    <c:v>0</c:v>
                  </c:pt>
                  <c:pt idx="53">
                    <c:v>5.0000028610229452E-2</c:v>
                  </c:pt>
                  <c:pt idx="54">
                    <c:v>0.11000001192092901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7.9999992847442636E-2</c:v>
                  </c:pt>
                  <c:pt idx="59">
                    <c:v>0</c:v>
                  </c:pt>
                  <c:pt idx="60">
                    <c:v>5.9999978542327859E-2</c:v>
                  </c:pt>
                  <c:pt idx="61">
                    <c:v>9.0000002384185818E-2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0.20999999761581423</c:v>
                  </c:pt>
                  <c:pt idx="66">
                    <c:v>7.9999992847442636E-2</c:v>
                  </c:pt>
                  <c:pt idx="67">
                    <c:v>0</c:v>
                  </c:pt>
                  <c:pt idx="68">
                    <c:v>0</c:v>
                  </c:pt>
                  <c:pt idx="69">
                    <c:v>0.11999998569488524</c:v>
                  </c:pt>
                  <c:pt idx="70">
                    <c:v>0</c:v>
                  </c:pt>
                  <c:pt idx="71">
                    <c:v>8.0000001788139347E-2</c:v>
                  </c:pt>
                  <c:pt idx="72">
                    <c:v>0.11000002622604366</c:v>
                  </c:pt>
                  <c:pt idx="73">
                    <c:v>4.0000000000000036E-2</c:v>
                  </c:pt>
                  <c:pt idx="74">
                    <c:v>0.12000000238418584</c:v>
                  </c:pt>
                  <c:pt idx="75">
                    <c:v>0.12000002622604367</c:v>
                  </c:pt>
                  <c:pt idx="76">
                    <c:v>0</c:v>
                  </c:pt>
                  <c:pt idx="77">
                    <c:v>0.10000000238418577</c:v>
                  </c:pt>
                  <c:pt idx="78">
                    <c:v>0.24999999284744268</c:v>
                  </c:pt>
                  <c:pt idx="79">
                    <c:v>8.9999988079071058E-2</c:v>
                  </c:pt>
                  <c:pt idx="80">
                    <c:v>0.28999998331069948</c:v>
                  </c:pt>
                  <c:pt idx="81">
                    <c:v>0</c:v>
                  </c:pt>
                  <c:pt idx="82">
                    <c:v>6.9999971389770543E-2</c:v>
                  </c:pt>
                  <c:pt idx="83">
                    <c:v>0.12999999761581416</c:v>
                  </c:pt>
                  <c:pt idx="84">
                    <c:v>0</c:v>
                  </c:pt>
                  <c:pt idx="85">
                    <c:v>6.9999992847442627E-2</c:v>
                  </c:pt>
                  <c:pt idx="86">
                    <c:v>8.0000013113021851E-2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6.0000000298023222E-2</c:v>
                  </c:pt>
                  <c:pt idx="91">
                    <c:v>0</c:v>
                  </c:pt>
                  <c:pt idx="92">
                    <c:v>2.9999988079071005E-2</c:v>
                  </c:pt>
                </c:numCache>
              </c:numRef>
            </c:plus>
            <c:minus>
              <c:numRef>
                <c:f>'Lower Limb Angioplasty'!$Q$2:$Q$94</c:f>
                <c:numCache>
                  <c:formatCode>General</c:formatCode>
                  <c:ptCount val="93"/>
                  <c:pt idx="0">
                    <c:v>0.15999999880790711</c:v>
                  </c:pt>
                  <c:pt idx="1">
                    <c:v>0</c:v>
                  </c:pt>
                  <c:pt idx="2">
                    <c:v>0.1400000047683716</c:v>
                  </c:pt>
                  <c:pt idx="3">
                    <c:v>0</c:v>
                  </c:pt>
                  <c:pt idx="4">
                    <c:v>8.0000007152557395E-2</c:v>
                  </c:pt>
                  <c:pt idx="5">
                    <c:v>7.9999978542327876E-2</c:v>
                  </c:pt>
                  <c:pt idx="6">
                    <c:v>0</c:v>
                  </c:pt>
                  <c:pt idx="7">
                    <c:v>0.1500000095367432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0.15999999925494193</c:v>
                  </c:pt>
                  <c:pt idx="12">
                    <c:v>0</c:v>
                  </c:pt>
                  <c:pt idx="13">
                    <c:v>0.14000000536441803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0.26000001907348635</c:v>
                  </c:pt>
                  <c:pt idx="18">
                    <c:v>7.000000022351742E-2</c:v>
                  </c:pt>
                  <c:pt idx="19">
                    <c:v>8.0000016689300568E-2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0.16000000178813933</c:v>
                  </c:pt>
                  <c:pt idx="24">
                    <c:v>0.23000001907348633</c:v>
                  </c:pt>
                  <c:pt idx="25">
                    <c:v>2.9999999254941942E-2</c:v>
                  </c:pt>
                  <c:pt idx="26">
                    <c:v>0.25999998927116397</c:v>
                  </c:pt>
                  <c:pt idx="27">
                    <c:v>6.0000026226043723E-2</c:v>
                  </c:pt>
                  <c:pt idx="28">
                    <c:v>8.9999991655349776E-2</c:v>
                  </c:pt>
                  <c:pt idx="29">
                    <c:v>0.15999998927116393</c:v>
                  </c:pt>
                  <c:pt idx="30">
                    <c:v>8.0000023841857892E-2</c:v>
                  </c:pt>
                  <c:pt idx="31">
                    <c:v>0</c:v>
                  </c:pt>
                  <c:pt idx="32">
                    <c:v>9.9999986886978143E-2</c:v>
                  </c:pt>
                  <c:pt idx="33">
                    <c:v>0.10999999999999999</c:v>
                  </c:pt>
                  <c:pt idx="34">
                    <c:v>0.10000000715255741</c:v>
                  </c:pt>
                  <c:pt idx="35">
                    <c:v>0</c:v>
                  </c:pt>
                  <c:pt idx="36">
                    <c:v>0.20999999761581423</c:v>
                  </c:pt>
                  <c:pt idx="37">
                    <c:v>0.23999999284744267</c:v>
                  </c:pt>
                  <c:pt idx="38">
                    <c:v>0</c:v>
                  </c:pt>
                  <c:pt idx="39">
                    <c:v>7.9999980926513725E-2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0.14999999403953551</c:v>
                  </c:pt>
                  <c:pt idx="50">
                    <c:v>9.0000004768371555E-2</c:v>
                  </c:pt>
                  <c:pt idx="51">
                    <c:v>6.999998807907104E-2</c:v>
                  </c:pt>
                  <c:pt idx="52">
                    <c:v>0</c:v>
                  </c:pt>
                  <c:pt idx="53">
                    <c:v>8.0000026226043741E-2</c:v>
                  </c:pt>
                  <c:pt idx="54">
                    <c:v>0.12999999761581416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9.0000023841857901E-2</c:v>
                  </c:pt>
                  <c:pt idx="59">
                    <c:v>0</c:v>
                  </c:pt>
                  <c:pt idx="60">
                    <c:v>8.9999997615814231E-2</c:v>
                  </c:pt>
                  <c:pt idx="61">
                    <c:v>9.0000004768371555E-2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0.34000001430511473</c:v>
                  </c:pt>
                  <c:pt idx="66">
                    <c:v>9.0000023841857901E-2</c:v>
                  </c:pt>
                  <c:pt idx="67">
                    <c:v>0</c:v>
                  </c:pt>
                  <c:pt idx="68">
                    <c:v>0</c:v>
                  </c:pt>
                  <c:pt idx="69">
                    <c:v>0.13000001430511476</c:v>
                  </c:pt>
                  <c:pt idx="70">
                    <c:v>0</c:v>
                  </c:pt>
                  <c:pt idx="71">
                    <c:v>5.0000000894069668E-2</c:v>
                  </c:pt>
                  <c:pt idx="72">
                    <c:v>0.16000001430511479</c:v>
                  </c:pt>
                  <c:pt idx="73">
                    <c:v>8.0000004768371547E-2</c:v>
                  </c:pt>
                  <c:pt idx="74">
                    <c:v>0.14999997854232783</c:v>
                  </c:pt>
                  <c:pt idx="75">
                    <c:v>0.16999999523162845</c:v>
                  </c:pt>
                  <c:pt idx="76">
                    <c:v>0</c:v>
                  </c:pt>
                  <c:pt idx="77">
                    <c:v>9.9999985694885274E-2</c:v>
                  </c:pt>
                  <c:pt idx="78">
                    <c:v>0.28000000834465022</c:v>
                  </c:pt>
                  <c:pt idx="79">
                    <c:v>0.10000000953674315</c:v>
                  </c:pt>
                  <c:pt idx="80">
                    <c:v>0.21000000178813932</c:v>
                  </c:pt>
                  <c:pt idx="81">
                    <c:v>0</c:v>
                  </c:pt>
                  <c:pt idx="82">
                    <c:v>8.0000004768371547E-2</c:v>
                  </c:pt>
                  <c:pt idx="83">
                    <c:v>0.18999999523162847</c:v>
                  </c:pt>
                  <c:pt idx="84">
                    <c:v>0</c:v>
                  </c:pt>
                  <c:pt idx="85">
                    <c:v>6.9999992847442627E-2</c:v>
                  </c:pt>
                  <c:pt idx="86">
                    <c:v>6.9999992847442627E-2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0.01</c:v>
                  </c:pt>
                  <c:pt idx="91">
                    <c:v>6.0000002384185791E-2</c:v>
                  </c:pt>
                  <c:pt idx="92">
                    <c:v>4.9999995231628458E-2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'Lower Limb Angioplasty'!$N$2:$N$94</c:f>
              <c:numCache>
                <c:formatCode>0</c:formatCode>
                <c:ptCount val="93"/>
                <c:pt idx="0">
                  <c:v>15</c:v>
                </c:pt>
                <c:pt idx="1">
                  <c:v>54</c:v>
                </c:pt>
                <c:pt idx="2">
                  <c:v>38</c:v>
                </c:pt>
                <c:pt idx="3">
                  <c:v>55</c:v>
                </c:pt>
                <c:pt idx="4">
                  <c:v>46</c:v>
                </c:pt>
                <c:pt idx="5">
                  <c:v>44</c:v>
                </c:pt>
                <c:pt idx="6">
                  <c:v>56</c:v>
                </c:pt>
                <c:pt idx="7">
                  <c:v>48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7</c:v>
                </c:pt>
                <c:pt idx="12">
                  <c:v>1</c:v>
                </c:pt>
                <c:pt idx="13">
                  <c:v>12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39</c:v>
                </c:pt>
                <c:pt idx="18">
                  <c:v>4</c:v>
                </c:pt>
                <c:pt idx="19">
                  <c:v>27</c:v>
                </c:pt>
                <c:pt idx="20">
                  <c:v>2</c:v>
                </c:pt>
                <c:pt idx="21">
                  <c:v>63</c:v>
                </c:pt>
                <c:pt idx="22">
                  <c:v>64</c:v>
                </c:pt>
                <c:pt idx="23">
                  <c:v>8</c:v>
                </c:pt>
                <c:pt idx="24">
                  <c:v>52</c:v>
                </c:pt>
                <c:pt idx="25">
                  <c:v>5</c:v>
                </c:pt>
                <c:pt idx="26">
                  <c:v>21</c:v>
                </c:pt>
                <c:pt idx="27">
                  <c:v>26</c:v>
                </c:pt>
                <c:pt idx="28">
                  <c:v>22</c:v>
                </c:pt>
                <c:pt idx="29">
                  <c:v>13</c:v>
                </c:pt>
                <c:pt idx="30">
                  <c:v>34</c:v>
                </c:pt>
                <c:pt idx="31">
                  <c:v>65</c:v>
                </c:pt>
                <c:pt idx="32">
                  <c:v>14</c:v>
                </c:pt>
                <c:pt idx="33">
                  <c:v>24</c:v>
                </c:pt>
                <c:pt idx="34">
                  <c:v>28</c:v>
                </c:pt>
                <c:pt idx="35">
                  <c:v>66</c:v>
                </c:pt>
                <c:pt idx="36">
                  <c:v>19</c:v>
                </c:pt>
                <c:pt idx="37">
                  <c:v>29</c:v>
                </c:pt>
                <c:pt idx="38">
                  <c:v>67</c:v>
                </c:pt>
                <c:pt idx="39">
                  <c:v>42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11</c:v>
                </c:pt>
                <c:pt idx="50">
                  <c:v>33</c:v>
                </c:pt>
                <c:pt idx="51">
                  <c:v>45</c:v>
                </c:pt>
                <c:pt idx="52">
                  <c:v>77</c:v>
                </c:pt>
                <c:pt idx="53">
                  <c:v>49</c:v>
                </c:pt>
                <c:pt idx="54">
                  <c:v>30</c:v>
                </c:pt>
                <c:pt idx="55">
                  <c:v>78</c:v>
                </c:pt>
                <c:pt idx="56">
                  <c:v>79</c:v>
                </c:pt>
                <c:pt idx="57">
                  <c:v>80</c:v>
                </c:pt>
                <c:pt idx="58">
                  <c:v>36</c:v>
                </c:pt>
                <c:pt idx="59">
                  <c:v>81</c:v>
                </c:pt>
                <c:pt idx="60">
                  <c:v>47</c:v>
                </c:pt>
                <c:pt idx="61">
                  <c:v>17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35</c:v>
                </c:pt>
                <c:pt idx="66">
                  <c:v>37</c:v>
                </c:pt>
                <c:pt idx="67">
                  <c:v>85</c:v>
                </c:pt>
                <c:pt idx="68">
                  <c:v>86</c:v>
                </c:pt>
                <c:pt idx="69">
                  <c:v>20</c:v>
                </c:pt>
                <c:pt idx="70">
                  <c:v>87</c:v>
                </c:pt>
                <c:pt idx="71">
                  <c:v>6</c:v>
                </c:pt>
                <c:pt idx="72">
                  <c:v>41</c:v>
                </c:pt>
                <c:pt idx="73">
                  <c:v>51</c:v>
                </c:pt>
                <c:pt idx="74">
                  <c:v>31</c:v>
                </c:pt>
                <c:pt idx="75">
                  <c:v>40</c:v>
                </c:pt>
                <c:pt idx="76">
                  <c:v>88</c:v>
                </c:pt>
                <c:pt idx="77">
                  <c:v>16</c:v>
                </c:pt>
                <c:pt idx="78">
                  <c:v>23</c:v>
                </c:pt>
                <c:pt idx="79">
                  <c:v>25</c:v>
                </c:pt>
                <c:pt idx="80">
                  <c:v>10</c:v>
                </c:pt>
                <c:pt idx="81">
                  <c:v>89</c:v>
                </c:pt>
                <c:pt idx="82">
                  <c:v>32</c:v>
                </c:pt>
                <c:pt idx="83">
                  <c:v>43</c:v>
                </c:pt>
                <c:pt idx="84">
                  <c:v>90</c:v>
                </c:pt>
                <c:pt idx="85">
                  <c:v>18</c:v>
                </c:pt>
                <c:pt idx="86">
                  <c:v>9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3</c:v>
                </c:pt>
                <c:pt idx="91">
                  <c:v>53</c:v>
                </c:pt>
                <c:pt idx="92">
                  <c:v>50</c:v>
                </c:pt>
              </c:numCache>
            </c:numRef>
          </c:xVal>
          <c:yVal>
            <c:numRef>
              <c:f>'Lower Limb Angioplasty'!$K$2:$K$94</c:f>
              <c:numCache>
                <c:formatCode>0%</c:formatCode>
                <c:ptCount val="93"/>
                <c:pt idx="0">
                  <c:v>0.44</c:v>
                </c:pt>
                <c:pt idx="1">
                  <c:v>0</c:v>
                </c:pt>
                <c:pt idx="2">
                  <c:v>0.77</c:v>
                </c:pt>
                <c:pt idx="3">
                  <c:v>0</c:v>
                </c:pt>
                <c:pt idx="4">
                  <c:v>0.9</c:v>
                </c:pt>
                <c:pt idx="5">
                  <c:v>0.87</c:v>
                </c:pt>
                <c:pt idx="6" formatCode="0">
                  <c:v>0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0.21</c:v>
                </c:pt>
                <c:pt idx="12">
                  <c:v>0</c:v>
                </c:pt>
                <c:pt idx="13">
                  <c:v>0.38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0.78</c:v>
                </c:pt>
                <c:pt idx="18">
                  <c:v>0.08</c:v>
                </c:pt>
                <c:pt idx="19">
                  <c:v>0.66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0.24</c:v>
                </c:pt>
                <c:pt idx="24">
                  <c:v>1</c:v>
                </c:pt>
                <c:pt idx="25">
                  <c:v>0.08</c:v>
                </c:pt>
                <c:pt idx="26">
                  <c:v>0.53</c:v>
                </c:pt>
                <c:pt idx="27">
                  <c:v>0.65</c:v>
                </c:pt>
                <c:pt idx="28">
                  <c:v>0.55000000000000004</c:v>
                </c:pt>
                <c:pt idx="29">
                  <c:v>0.43</c:v>
                </c:pt>
                <c:pt idx="30">
                  <c:v>0.73</c:v>
                </c:pt>
                <c:pt idx="31">
                  <c:v>0</c:v>
                </c:pt>
                <c:pt idx="32">
                  <c:v>0.43</c:v>
                </c:pt>
                <c:pt idx="33">
                  <c:v>0.61</c:v>
                </c:pt>
                <c:pt idx="34">
                  <c:v>0.67</c:v>
                </c:pt>
                <c:pt idx="35">
                  <c:v>0</c:v>
                </c:pt>
                <c:pt idx="36">
                  <c:v>0.52</c:v>
                </c:pt>
                <c:pt idx="37">
                  <c:v>0.67</c:v>
                </c:pt>
                <c:pt idx="38">
                  <c:v>0</c:v>
                </c:pt>
                <c:pt idx="39">
                  <c:v>0.81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</c:v>
                </c:pt>
                <c:pt idx="50">
                  <c:v>0.72</c:v>
                </c:pt>
                <c:pt idx="51">
                  <c:v>0.87</c:v>
                </c:pt>
                <c:pt idx="52">
                  <c:v>0</c:v>
                </c:pt>
                <c:pt idx="53">
                  <c:v>0.92</c:v>
                </c:pt>
                <c:pt idx="54">
                  <c:v>0.69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0.74</c:v>
                </c:pt>
                <c:pt idx="59">
                  <c:v>0</c:v>
                </c:pt>
                <c:pt idx="60">
                  <c:v>0.9</c:v>
                </c:pt>
                <c:pt idx="61">
                  <c:v>0.47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0.73</c:v>
                </c:pt>
                <c:pt idx="66">
                  <c:v>0.74</c:v>
                </c:pt>
                <c:pt idx="67">
                  <c:v>0</c:v>
                </c:pt>
                <c:pt idx="68">
                  <c:v>0</c:v>
                </c:pt>
                <c:pt idx="69">
                  <c:v>0.52</c:v>
                </c:pt>
                <c:pt idx="70">
                  <c:v>0</c:v>
                </c:pt>
                <c:pt idx="71">
                  <c:v>0.09</c:v>
                </c:pt>
                <c:pt idx="72">
                  <c:v>0.8</c:v>
                </c:pt>
                <c:pt idx="73">
                  <c:v>0.96</c:v>
                </c:pt>
                <c:pt idx="74">
                  <c:v>0.69</c:v>
                </c:pt>
                <c:pt idx="75">
                  <c:v>0.79</c:v>
                </c:pt>
                <c:pt idx="76">
                  <c:v>0</c:v>
                </c:pt>
                <c:pt idx="77">
                  <c:v>0.46</c:v>
                </c:pt>
                <c:pt idx="78">
                  <c:v>0.56999999999999995</c:v>
                </c:pt>
                <c:pt idx="79">
                  <c:v>0.61</c:v>
                </c:pt>
                <c:pt idx="80">
                  <c:v>0.28999999999999998</c:v>
                </c:pt>
                <c:pt idx="81">
                  <c:v>0</c:v>
                </c:pt>
                <c:pt idx="82">
                  <c:v>0.71</c:v>
                </c:pt>
                <c:pt idx="83">
                  <c:v>0.81</c:v>
                </c:pt>
                <c:pt idx="84">
                  <c:v>0</c:v>
                </c:pt>
                <c:pt idx="85">
                  <c:v>0.5</c:v>
                </c:pt>
                <c:pt idx="86">
                  <c:v>0.25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0.01</c:v>
                </c:pt>
                <c:pt idx="91">
                  <c:v>1</c:v>
                </c:pt>
                <c:pt idx="92">
                  <c:v>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C-45FF-9349-945CD7C6D071}"/>
            </c:ext>
          </c:extLst>
        </c:ser>
        <c:ser>
          <c:idx val="1"/>
          <c:order val="1"/>
          <c:tx>
            <c:strRef>
              <c:f>'Angioplasty Summary'!$B$30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'Angioplasty Summary'!$AD$2</c:f>
                <c:numCache>
                  <c:formatCode>General</c:formatCode>
                  <c:ptCount val="1"/>
                  <c:pt idx="0">
                    <c:v>0.18000000476837158</c:v>
                  </c:pt>
                </c:numCache>
              </c:numRef>
            </c:plus>
            <c:minus>
              <c:numRef>
                <c:f>'Angioplasty Summary'!$AC$2</c:f>
                <c:numCache>
                  <c:formatCode>General</c:formatCode>
                  <c:ptCount val="1"/>
                  <c:pt idx="0">
                    <c:v>0.15999999880790711</c:v>
                  </c:pt>
                </c:numCache>
              </c:numRef>
            </c:minus>
            <c:spPr>
              <a:noFill/>
              <a:ln w="34925" cap="flat" cmpd="sng" algn="ctr">
                <a:solidFill>
                  <a:srgbClr val="00B05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stdErr"/>
            <c:noEndCap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'Angioplasty Summary'!$AA$2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'Angioplasty Summary'!$AB$2</c:f>
              <c:numCache>
                <c:formatCode>0.00%</c:formatCode>
                <c:ptCount val="1"/>
                <c:pt idx="0">
                  <c:v>0.44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8C-45FF-9349-945CD7C6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53"/>
          <c:min val="0"/>
        </c:scaling>
        <c:delete val="0"/>
        <c:axPos val="b"/>
        <c:numFmt formatCode="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Angioplasty'!$L$1</c:f>
              <c:strCache>
                <c:ptCount val="1"/>
                <c:pt idx="0">
                  <c:v>Adjusted in-hospital mortality angio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Angioplasty'!$C$2:$C$94</c:f>
              <c:numCache>
                <c:formatCode>0</c:formatCode>
                <c:ptCount val="93"/>
                <c:pt idx="0">
                  <c:v>73</c:v>
                </c:pt>
                <c:pt idx="1">
                  <c:v>11</c:v>
                </c:pt>
                <c:pt idx="2">
                  <c:v>430</c:v>
                </c:pt>
                <c:pt idx="3">
                  <c:v>376</c:v>
                </c:pt>
                <c:pt idx="4">
                  <c:v>437</c:v>
                </c:pt>
                <c:pt idx="5">
                  <c:v>359</c:v>
                </c:pt>
                <c:pt idx="6">
                  <c:v>#N/A</c:v>
                </c:pt>
                <c:pt idx="7">
                  <c:v>172</c:v>
                </c:pt>
                <c:pt idx="8">
                  <c:v>0</c:v>
                </c:pt>
                <c:pt idx="9">
                  <c:v>#N/A</c:v>
                </c:pt>
                <c:pt idx="10">
                  <c:v>0</c:v>
                </c:pt>
                <c:pt idx="11">
                  <c:v>437</c:v>
                </c:pt>
                <c:pt idx="12">
                  <c:v>73</c:v>
                </c:pt>
                <c:pt idx="13">
                  <c:v>337</c:v>
                </c:pt>
                <c:pt idx="14">
                  <c:v>0</c:v>
                </c:pt>
                <c:pt idx="15">
                  <c:v>70</c:v>
                </c:pt>
                <c:pt idx="16">
                  <c:v>0</c:v>
                </c:pt>
                <c:pt idx="17">
                  <c:v>43</c:v>
                </c:pt>
                <c:pt idx="18">
                  <c:v>147</c:v>
                </c:pt>
                <c:pt idx="19">
                  <c:v>841</c:v>
                </c:pt>
                <c:pt idx="20">
                  <c:v>270</c:v>
                </c:pt>
                <c:pt idx="21">
                  <c:v>299</c:v>
                </c:pt>
                <c:pt idx="22">
                  <c:v>68</c:v>
                </c:pt>
                <c:pt idx="23">
                  <c:v>135</c:v>
                </c:pt>
                <c:pt idx="24">
                  <c:v>33</c:v>
                </c:pt>
                <c:pt idx="25">
                  <c:v>561</c:v>
                </c:pt>
                <c:pt idx="26">
                  <c:v>69</c:v>
                </c:pt>
                <c:pt idx="27">
                  <c:v>1161</c:v>
                </c:pt>
                <c:pt idx="28">
                  <c:v>467</c:v>
                </c:pt>
                <c:pt idx="29">
                  <c:v>252</c:v>
                </c:pt>
                <c:pt idx="30">
                  <c:v>913</c:v>
                </c:pt>
                <c:pt idx="31">
                  <c:v>39</c:v>
                </c:pt>
                <c:pt idx="32">
                  <c:v>381</c:v>
                </c:pt>
                <c:pt idx="33">
                  <c:v>465</c:v>
                </c:pt>
                <c:pt idx="34">
                  <c:v>634</c:v>
                </c:pt>
                <c:pt idx="35">
                  <c:v>#N/A</c:v>
                </c:pt>
                <c:pt idx="36">
                  <c:v>190</c:v>
                </c:pt>
                <c:pt idx="37">
                  <c:v>114</c:v>
                </c:pt>
                <c:pt idx="38">
                  <c:v>29</c:v>
                </c:pt>
                <c:pt idx="39">
                  <c:v>612</c:v>
                </c:pt>
                <c:pt idx="40">
                  <c:v>0</c:v>
                </c:pt>
                <c:pt idx="41">
                  <c:v>59</c:v>
                </c:pt>
                <c:pt idx="42">
                  <c:v>80</c:v>
                </c:pt>
                <c:pt idx="43">
                  <c:v>53</c:v>
                </c:pt>
                <c:pt idx="44">
                  <c:v>#N/A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#N/A</c:v>
                </c:pt>
                <c:pt idx="49">
                  <c:v>61</c:v>
                </c:pt>
                <c:pt idx="50">
                  <c:v>623</c:v>
                </c:pt>
                <c:pt idx="51">
                  <c:v>559</c:v>
                </c:pt>
                <c:pt idx="52">
                  <c:v>#N/A</c:v>
                </c:pt>
                <c:pt idx="53">
                  <c:v>138</c:v>
                </c:pt>
                <c:pt idx="54">
                  <c:v>394</c:v>
                </c:pt>
                <c:pt idx="55">
                  <c:v>0</c:v>
                </c:pt>
                <c:pt idx="56">
                  <c:v>147</c:v>
                </c:pt>
                <c:pt idx="57">
                  <c:v>0</c:v>
                </c:pt>
                <c:pt idx="58">
                  <c:v>289</c:v>
                </c:pt>
                <c:pt idx="59">
                  <c:v>15</c:v>
                </c:pt>
                <c:pt idx="60">
                  <c:v>122</c:v>
                </c:pt>
                <c:pt idx="61">
                  <c:v>243</c:v>
                </c:pt>
                <c:pt idx="62">
                  <c:v>201</c:v>
                </c:pt>
                <c:pt idx="63">
                  <c:v>#N/A</c:v>
                </c:pt>
                <c:pt idx="64">
                  <c:v>53</c:v>
                </c:pt>
                <c:pt idx="65">
                  <c:v>68</c:v>
                </c:pt>
                <c:pt idx="66">
                  <c:v>491</c:v>
                </c:pt>
                <c:pt idx="67">
                  <c:v>514</c:v>
                </c:pt>
                <c:pt idx="68">
                  <c:v>0</c:v>
                </c:pt>
                <c:pt idx="69">
                  <c:v>168</c:v>
                </c:pt>
                <c:pt idx="70">
                  <c:v>39</c:v>
                </c:pt>
                <c:pt idx="71">
                  <c:v>523</c:v>
                </c:pt>
                <c:pt idx="72">
                  <c:v>65</c:v>
                </c:pt>
                <c:pt idx="73">
                  <c:v>162</c:v>
                </c:pt>
                <c:pt idx="74">
                  <c:v>320</c:v>
                </c:pt>
                <c:pt idx="75">
                  <c:v>411</c:v>
                </c:pt>
                <c:pt idx="76">
                  <c:v>0</c:v>
                </c:pt>
                <c:pt idx="77">
                  <c:v>451</c:v>
                </c:pt>
                <c:pt idx="78">
                  <c:v>50</c:v>
                </c:pt>
                <c:pt idx="79">
                  <c:v>691</c:v>
                </c:pt>
                <c:pt idx="80">
                  <c:v>148</c:v>
                </c:pt>
                <c:pt idx="81">
                  <c:v>0</c:v>
                </c:pt>
                <c:pt idx="82">
                  <c:v>1000</c:v>
                </c:pt>
                <c:pt idx="83">
                  <c:v>115</c:v>
                </c:pt>
                <c:pt idx="84">
                  <c:v>#N/A</c:v>
                </c:pt>
                <c:pt idx="85">
                  <c:v>866</c:v>
                </c:pt>
                <c:pt idx="86">
                  <c:v>429</c:v>
                </c:pt>
                <c:pt idx="87">
                  <c:v>24</c:v>
                </c:pt>
                <c:pt idx="88">
                  <c:v>82</c:v>
                </c:pt>
                <c:pt idx="89">
                  <c:v>#N/A</c:v>
                </c:pt>
                <c:pt idx="90">
                  <c:v>398</c:v>
                </c:pt>
                <c:pt idx="91">
                  <c:v>247</c:v>
                </c:pt>
                <c:pt idx="92">
                  <c:v>977</c:v>
                </c:pt>
              </c:numCache>
            </c:numRef>
          </c:xVal>
          <c:yVal>
            <c:numRef>
              <c:f>'Lower Limb Angioplasty'!$L$2:$L$94</c:f>
              <c:numCache>
                <c:formatCode>0.0%</c:formatCode>
                <c:ptCount val="93"/>
                <c:pt idx="0">
                  <c:v>1.2E-2</c:v>
                </c:pt>
                <c:pt idx="1">
                  <c:v>8.2000000000000003E-2</c:v>
                </c:pt>
                <c:pt idx="2">
                  <c:v>2.1999999999999999E-2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1.2E-2</c:v>
                </c:pt>
                <c:pt idx="6" formatCode="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1.9E-2</c:v>
                </c:pt>
                <c:pt idx="12">
                  <c:v>2.4E-2</c:v>
                </c:pt>
                <c:pt idx="13">
                  <c:v>2.8000000000000001E-2</c:v>
                </c:pt>
                <c:pt idx="14">
                  <c:v>0</c:v>
                </c:pt>
                <c:pt idx="15">
                  <c:v>1.4999999999999999E-2</c:v>
                </c:pt>
                <c:pt idx="16">
                  <c:v>0</c:v>
                </c:pt>
                <c:pt idx="17">
                  <c:v>4.1000000000000002E-2</c:v>
                </c:pt>
                <c:pt idx="18">
                  <c:v>0</c:v>
                </c:pt>
                <c:pt idx="19">
                  <c:v>1.7999999999999999E-2</c:v>
                </c:pt>
                <c:pt idx="20">
                  <c:v>0</c:v>
                </c:pt>
                <c:pt idx="21">
                  <c:v>1.4E-2</c:v>
                </c:pt>
                <c:pt idx="22">
                  <c:v>6.2E-2</c:v>
                </c:pt>
                <c:pt idx="23">
                  <c:v>2.7E-2</c:v>
                </c:pt>
                <c:pt idx="24">
                  <c:v>0</c:v>
                </c:pt>
                <c:pt idx="25">
                  <c:v>1.9E-2</c:v>
                </c:pt>
                <c:pt idx="26">
                  <c:v>3.7999999999999999E-2</c:v>
                </c:pt>
                <c:pt idx="27">
                  <c:v>1.9E-2</c:v>
                </c:pt>
                <c:pt idx="28">
                  <c:v>1.0999999999999999E-2</c:v>
                </c:pt>
                <c:pt idx="29">
                  <c:v>1.7999999999999999E-2</c:v>
                </c:pt>
                <c:pt idx="30">
                  <c:v>2.4E-2</c:v>
                </c:pt>
                <c:pt idx="31">
                  <c:v>0</c:v>
                </c:pt>
                <c:pt idx="32">
                  <c:v>1.2E-2</c:v>
                </c:pt>
                <c:pt idx="33">
                  <c:v>3.4000000000000002E-2</c:v>
                </c:pt>
                <c:pt idx="34">
                  <c:v>1.9E-2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2.5000000000000001E-2</c:v>
                </c:pt>
                <c:pt idx="40">
                  <c:v>0</c:v>
                </c:pt>
                <c:pt idx="41">
                  <c:v>4.4999999999999998E-2</c:v>
                </c:pt>
                <c:pt idx="42">
                  <c:v>0</c:v>
                </c:pt>
                <c:pt idx="43">
                  <c:v>2.1999999999999999E-2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2.4E-2</c:v>
                </c:pt>
                <c:pt idx="50">
                  <c:v>1.0999999999999999E-2</c:v>
                </c:pt>
                <c:pt idx="51">
                  <c:v>0.02</c:v>
                </c:pt>
                <c:pt idx="52">
                  <c:v>0</c:v>
                </c:pt>
                <c:pt idx="53">
                  <c:v>0</c:v>
                </c:pt>
                <c:pt idx="54">
                  <c:v>2.7E-2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2.1999999999999999E-2</c:v>
                </c:pt>
                <c:pt idx="59">
                  <c:v>0.113</c:v>
                </c:pt>
                <c:pt idx="60">
                  <c:v>1.0999999999999999E-2</c:v>
                </c:pt>
                <c:pt idx="61">
                  <c:v>4.4999999999999998E-2</c:v>
                </c:pt>
                <c:pt idx="62">
                  <c:v>0.02</c:v>
                </c:pt>
                <c:pt idx="63">
                  <c:v>0</c:v>
                </c:pt>
                <c:pt idx="64">
                  <c:v>4.3999999999999997E-2</c:v>
                </c:pt>
                <c:pt idx="65">
                  <c:v>1.7000000000000001E-2</c:v>
                </c:pt>
                <c:pt idx="66">
                  <c:v>1.4999999999999999E-2</c:v>
                </c:pt>
                <c:pt idx="67">
                  <c:v>2.3E-2</c:v>
                </c:pt>
                <c:pt idx="68">
                  <c:v>0</c:v>
                </c:pt>
                <c:pt idx="69">
                  <c:v>1.6E-2</c:v>
                </c:pt>
                <c:pt idx="70">
                  <c:v>0.06</c:v>
                </c:pt>
                <c:pt idx="71">
                  <c:v>1.2999999999999999E-2</c:v>
                </c:pt>
                <c:pt idx="72">
                  <c:v>0</c:v>
                </c:pt>
                <c:pt idx="73">
                  <c:v>2.9000000000000001E-2</c:v>
                </c:pt>
                <c:pt idx="74">
                  <c:v>2.5000000000000001E-2</c:v>
                </c:pt>
                <c:pt idx="75">
                  <c:v>3.9E-2</c:v>
                </c:pt>
                <c:pt idx="76">
                  <c:v>0</c:v>
                </c:pt>
                <c:pt idx="77">
                  <c:v>8.0000000000000002E-3</c:v>
                </c:pt>
                <c:pt idx="78">
                  <c:v>0</c:v>
                </c:pt>
                <c:pt idx="79">
                  <c:v>1.7000000000000001E-2</c:v>
                </c:pt>
                <c:pt idx="80">
                  <c:v>0.01</c:v>
                </c:pt>
                <c:pt idx="81">
                  <c:v>0</c:v>
                </c:pt>
                <c:pt idx="82">
                  <c:v>1.4E-2</c:v>
                </c:pt>
                <c:pt idx="83">
                  <c:v>1.4999999999999999E-2</c:v>
                </c:pt>
                <c:pt idx="84">
                  <c:v>0</c:v>
                </c:pt>
                <c:pt idx="85">
                  <c:v>0.01</c:v>
                </c:pt>
                <c:pt idx="86">
                  <c:v>1.4E-2</c:v>
                </c:pt>
                <c:pt idx="87">
                  <c:v>0</c:v>
                </c:pt>
                <c:pt idx="88">
                  <c:v>4.3999999999999997E-2</c:v>
                </c:pt>
                <c:pt idx="89">
                  <c:v>0</c:v>
                </c:pt>
                <c:pt idx="90">
                  <c:v>1.7000000000000001E-2</c:v>
                </c:pt>
                <c:pt idx="91">
                  <c:v>0</c:v>
                </c:pt>
                <c:pt idx="92">
                  <c:v>1.6E-2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E3-401B-82A3-4464EDE6AA65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'Angio Funnel'!$B$2:$B$74</c:f>
              <c:numCache>
                <c:formatCode>General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15</c:v>
                </c:pt>
                <c:pt idx="3">
                  <c:v>24</c:v>
                </c:pt>
                <c:pt idx="4">
                  <c:v>29</c:v>
                </c:pt>
                <c:pt idx="5">
                  <c:v>33</c:v>
                </c:pt>
                <c:pt idx="6">
                  <c:v>39</c:v>
                </c:pt>
                <c:pt idx="7">
                  <c:v>39</c:v>
                </c:pt>
                <c:pt idx="8">
                  <c:v>43</c:v>
                </c:pt>
                <c:pt idx="9">
                  <c:v>50</c:v>
                </c:pt>
                <c:pt idx="10">
                  <c:v>53</c:v>
                </c:pt>
                <c:pt idx="11">
                  <c:v>53</c:v>
                </c:pt>
                <c:pt idx="12">
                  <c:v>59</c:v>
                </c:pt>
                <c:pt idx="13">
                  <c:v>61</c:v>
                </c:pt>
                <c:pt idx="14">
                  <c:v>65</c:v>
                </c:pt>
                <c:pt idx="15">
                  <c:v>68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73</c:v>
                </c:pt>
                <c:pt idx="20">
                  <c:v>73</c:v>
                </c:pt>
                <c:pt idx="21">
                  <c:v>80</c:v>
                </c:pt>
                <c:pt idx="22">
                  <c:v>82</c:v>
                </c:pt>
                <c:pt idx="23">
                  <c:v>114</c:v>
                </c:pt>
                <c:pt idx="24">
                  <c:v>115</c:v>
                </c:pt>
                <c:pt idx="25">
                  <c:v>122</c:v>
                </c:pt>
                <c:pt idx="26">
                  <c:v>135</c:v>
                </c:pt>
                <c:pt idx="27">
                  <c:v>138</c:v>
                </c:pt>
                <c:pt idx="28">
                  <c:v>147</c:v>
                </c:pt>
                <c:pt idx="29">
                  <c:v>147</c:v>
                </c:pt>
                <c:pt idx="30">
                  <c:v>148</c:v>
                </c:pt>
                <c:pt idx="31">
                  <c:v>162</c:v>
                </c:pt>
                <c:pt idx="32">
                  <c:v>168</c:v>
                </c:pt>
                <c:pt idx="33">
                  <c:v>172</c:v>
                </c:pt>
                <c:pt idx="34">
                  <c:v>190</c:v>
                </c:pt>
                <c:pt idx="35">
                  <c:v>201</c:v>
                </c:pt>
                <c:pt idx="36">
                  <c:v>243</c:v>
                </c:pt>
                <c:pt idx="37">
                  <c:v>247</c:v>
                </c:pt>
                <c:pt idx="38">
                  <c:v>252</c:v>
                </c:pt>
                <c:pt idx="39">
                  <c:v>270</c:v>
                </c:pt>
                <c:pt idx="40">
                  <c:v>289</c:v>
                </c:pt>
                <c:pt idx="41">
                  <c:v>299</c:v>
                </c:pt>
                <c:pt idx="42">
                  <c:v>320</c:v>
                </c:pt>
                <c:pt idx="43">
                  <c:v>337</c:v>
                </c:pt>
                <c:pt idx="44">
                  <c:v>359</c:v>
                </c:pt>
                <c:pt idx="45">
                  <c:v>376</c:v>
                </c:pt>
                <c:pt idx="46">
                  <c:v>381</c:v>
                </c:pt>
                <c:pt idx="47">
                  <c:v>394</c:v>
                </c:pt>
                <c:pt idx="48">
                  <c:v>398</c:v>
                </c:pt>
                <c:pt idx="49">
                  <c:v>411</c:v>
                </c:pt>
                <c:pt idx="50">
                  <c:v>429</c:v>
                </c:pt>
                <c:pt idx="51">
                  <c:v>430</c:v>
                </c:pt>
                <c:pt idx="52">
                  <c:v>437</c:v>
                </c:pt>
                <c:pt idx="53">
                  <c:v>437</c:v>
                </c:pt>
                <c:pt idx="54">
                  <c:v>451</c:v>
                </c:pt>
                <c:pt idx="55">
                  <c:v>465</c:v>
                </c:pt>
                <c:pt idx="56">
                  <c:v>467</c:v>
                </c:pt>
                <c:pt idx="57">
                  <c:v>491</c:v>
                </c:pt>
                <c:pt idx="58">
                  <c:v>514</c:v>
                </c:pt>
                <c:pt idx="59">
                  <c:v>523</c:v>
                </c:pt>
                <c:pt idx="60">
                  <c:v>559</c:v>
                </c:pt>
                <c:pt idx="61">
                  <c:v>561</c:v>
                </c:pt>
                <c:pt idx="62">
                  <c:v>612</c:v>
                </c:pt>
                <c:pt idx="63">
                  <c:v>623</c:v>
                </c:pt>
                <c:pt idx="64">
                  <c:v>634</c:v>
                </c:pt>
                <c:pt idx="65">
                  <c:v>691</c:v>
                </c:pt>
                <c:pt idx="66">
                  <c:v>841</c:v>
                </c:pt>
                <c:pt idx="67">
                  <c:v>866</c:v>
                </c:pt>
                <c:pt idx="68">
                  <c:v>913</c:v>
                </c:pt>
                <c:pt idx="69">
                  <c:v>977</c:v>
                </c:pt>
                <c:pt idx="70">
                  <c:v>1000</c:v>
                </c:pt>
                <c:pt idx="71">
                  <c:v>1161</c:v>
                </c:pt>
                <c:pt idx="72">
                  <c:v>1200</c:v>
                </c:pt>
              </c:numCache>
            </c:numRef>
          </c:xVal>
          <c:yVal>
            <c:numRef>
              <c:f>'Angio Funnel'!$E$2:$E$74</c:f>
              <c:numCache>
                <c:formatCode>0.0%</c:formatCode>
                <c:ptCount val="73"/>
                <c:pt idx="0">
                  <c:v>1.7999999999999999E-2</c:v>
                </c:pt>
                <c:pt idx="1">
                  <c:v>1.7999999999999999E-2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1.7999999999999999E-2</c:v>
                </c:pt>
                <c:pt idx="7">
                  <c:v>1.7999999999999999E-2</c:v>
                </c:pt>
                <c:pt idx="8">
                  <c:v>1.7999999999999999E-2</c:v>
                </c:pt>
                <c:pt idx="9">
                  <c:v>1.7999999999999999E-2</c:v>
                </c:pt>
                <c:pt idx="10">
                  <c:v>1.7999999999999999E-2</c:v>
                </c:pt>
                <c:pt idx="11">
                  <c:v>1.7999999999999999E-2</c:v>
                </c:pt>
                <c:pt idx="12">
                  <c:v>1.7999999999999999E-2</c:v>
                </c:pt>
                <c:pt idx="13">
                  <c:v>1.7999999999999999E-2</c:v>
                </c:pt>
                <c:pt idx="14">
                  <c:v>1.7999999999999999E-2</c:v>
                </c:pt>
                <c:pt idx="15">
                  <c:v>1.7999999999999999E-2</c:v>
                </c:pt>
                <c:pt idx="16">
                  <c:v>1.7999999999999999E-2</c:v>
                </c:pt>
                <c:pt idx="17">
                  <c:v>1.7999999999999999E-2</c:v>
                </c:pt>
                <c:pt idx="18">
                  <c:v>1.7999999999999999E-2</c:v>
                </c:pt>
                <c:pt idx="19">
                  <c:v>1.7999999999999999E-2</c:v>
                </c:pt>
                <c:pt idx="20">
                  <c:v>1.7999999999999999E-2</c:v>
                </c:pt>
                <c:pt idx="21">
                  <c:v>1.7999999999999999E-2</c:v>
                </c:pt>
                <c:pt idx="22">
                  <c:v>1.7999999999999999E-2</c:v>
                </c:pt>
                <c:pt idx="23">
                  <c:v>1.7999999999999999E-2</c:v>
                </c:pt>
                <c:pt idx="24">
                  <c:v>1.7999999999999999E-2</c:v>
                </c:pt>
                <c:pt idx="25">
                  <c:v>1.7999999999999999E-2</c:v>
                </c:pt>
                <c:pt idx="26">
                  <c:v>1.7999999999999999E-2</c:v>
                </c:pt>
                <c:pt idx="27">
                  <c:v>1.7999999999999999E-2</c:v>
                </c:pt>
                <c:pt idx="28">
                  <c:v>1.7999999999999999E-2</c:v>
                </c:pt>
                <c:pt idx="29">
                  <c:v>1.7999999999999999E-2</c:v>
                </c:pt>
                <c:pt idx="30">
                  <c:v>1.7999999999999999E-2</c:v>
                </c:pt>
                <c:pt idx="31">
                  <c:v>1.7999999999999999E-2</c:v>
                </c:pt>
                <c:pt idx="32">
                  <c:v>1.7999999999999999E-2</c:v>
                </c:pt>
                <c:pt idx="33">
                  <c:v>1.7999999999999999E-2</c:v>
                </c:pt>
                <c:pt idx="34">
                  <c:v>1.7999999999999999E-2</c:v>
                </c:pt>
                <c:pt idx="35">
                  <c:v>1.7999999999999999E-2</c:v>
                </c:pt>
                <c:pt idx="36">
                  <c:v>1.7999999999999999E-2</c:v>
                </c:pt>
                <c:pt idx="37">
                  <c:v>1.7999999999999999E-2</c:v>
                </c:pt>
                <c:pt idx="38">
                  <c:v>1.7999999999999999E-2</c:v>
                </c:pt>
                <c:pt idx="39">
                  <c:v>1.7999999999999999E-2</c:v>
                </c:pt>
                <c:pt idx="40">
                  <c:v>1.7999999999999999E-2</c:v>
                </c:pt>
                <c:pt idx="41">
                  <c:v>1.7999999999999999E-2</c:v>
                </c:pt>
                <c:pt idx="42">
                  <c:v>1.7999999999999999E-2</c:v>
                </c:pt>
                <c:pt idx="43">
                  <c:v>1.7999999999999999E-2</c:v>
                </c:pt>
                <c:pt idx="44">
                  <c:v>1.7999999999999999E-2</c:v>
                </c:pt>
                <c:pt idx="45">
                  <c:v>1.7999999999999999E-2</c:v>
                </c:pt>
                <c:pt idx="46">
                  <c:v>1.7999999999999999E-2</c:v>
                </c:pt>
                <c:pt idx="47">
                  <c:v>1.7999999999999999E-2</c:v>
                </c:pt>
                <c:pt idx="48">
                  <c:v>1.7999999999999999E-2</c:v>
                </c:pt>
                <c:pt idx="49">
                  <c:v>1.7999999999999999E-2</c:v>
                </c:pt>
                <c:pt idx="50">
                  <c:v>1.7999999999999999E-2</c:v>
                </c:pt>
                <c:pt idx="51">
                  <c:v>1.7999999999999999E-2</c:v>
                </c:pt>
                <c:pt idx="52">
                  <c:v>1.7999999999999999E-2</c:v>
                </c:pt>
                <c:pt idx="53">
                  <c:v>1.7999999999999999E-2</c:v>
                </c:pt>
                <c:pt idx="54">
                  <c:v>1.7999999999999999E-2</c:v>
                </c:pt>
                <c:pt idx="55">
                  <c:v>1.7999999999999999E-2</c:v>
                </c:pt>
                <c:pt idx="56">
                  <c:v>1.7999999999999999E-2</c:v>
                </c:pt>
                <c:pt idx="57">
                  <c:v>1.7999999999999999E-2</c:v>
                </c:pt>
                <c:pt idx="58">
                  <c:v>1.7999999999999999E-2</c:v>
                </c:pt>
                <c:pt idx="59">
                  <c:v>1.7999999999999999E-2</c:v>
                </c:pt>
                <c:pt idx="60">
                  <c:v>1.7999999999999999E-2</c:v>
                </c:pt>
                <c:pt idx="61">
                  <c:v>1.7999999999999999E-2</c:v>
                </c:pt>
                <c:pt idx="62">
                  <c:v>1.7999999999999999E-2</c:v>
                </c:pt>
                <c:pt idx="63">
                  <c:v>1.7999999999999999E-2</c:v>
                </c:pt>
                <c:pt idx="64">
                  <c:v>1.7999999999999999E-2</c:v>
                </c:pt>
                <c:pt idx="65">
                  <c:v>1.7999999999999999E-2</c:v>
                </c:pt>
                <c:pt idx="66">
                  <c:v>1.7999999999999999E-2</c:v>
                </c:pt>
                <c:pt idx="67">
                  <c:v>1.7999999999999999E-2</c:v>
                </c:pt>
                <c:pt idx="68">
                  <c:v>1.7999999999999999E-2</c:v>
                </c:pt>
                <c:pt idx="69">
                  <c:v>1.7999999999999999E-2</c:v>
                </c:pt>
                <c:pt idx="70">
                  <c:v>1.7999999999999999E-2</c:v>
                </c:pt>
                <c:pt idx="71">
                  <c:v>1.7999999999999999E-2</c:v>
                </c:pt>
                <c:pt idx="72">
                  <c:v>1.7999999999999999E-2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E3-401B-82A3-4464EDE6AA6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 Funnel'!$B$2:$B$74</c:f>
              <c:numCache>
                <c:formatCode>General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15</c:v>
                </c:pt>
                <c:pt idx="3">
                  <c:v>24</c:v>
                </c:pt>
                <c:pt idx="4">
                  <c:v>29</c:v>
                </c:pt>
                <c:pt idx="5">
                  <c:v>33</c:v>
                </c:pt>
                <c:pt idx="6">
                  <c:v>39</c:v>
                </c:pt>
                <c:pt idx="7">
                  <c:v>39</c:v>
                </c:pt>
                <c:pt idx="8">
                  <c:v>43</c:v>
                </c:pt>
                <c:pt idx="9">
                  <c:v>50</c:v>
                </c:pt>
                <c:pt idx="10">
                  <c:v>53</c:v>
                </c:pt>
                <c:pt idx="11">
                  <c:v>53</c:v>
                </c:pt>
                <c:pt idx="12">
                  <c:v>59</c:v>
                </c:pt>
                <c:pt idx="13">
                  <c:v>61</c:v>
                </c:pt>
                <c:pt idx="14">
                  <c:v>65</c:v>
                </c:pt>
                <c:pt idx="15">
                  <c:v>68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73</c:v>
                </c:pt>
                <c:pt idx="20">
                  <c:v>73</c:v>
                </c:pt>
                <c:pt idx="21">
                  <c:v>80</c:v>
                </c:pt>
                <c:pt idx="22">
                  <c:v>82</c:v>
                </c:pt>
                <c:pt idx="23">
                  <c:v>114</c:v>
                </c:pt>
                <c:pt idx="24">
                  <c:v>115</c:v>
                </c:pt>
                <c:pt idx="25">
                  <c:v>122</c:v>
                </c:pt>
                <c:pt idx="26">
                  <c:v>135</c:v>
                </c:pt>
                <c:pt idx="27">
                  <c:v>138</c:v>
                </c:pt>
                <c:pt idx="28">
                  <c:v>147</c:v>
                </c:pt>
                <c:pt idx="29">
                  <c:v>147</c:v>
                </c:pt>
                <c:pt idx="30">
                  <c:v>148</c:v>
                </c:pt>
                <c:pt idx="31">
                  <c:v>162</c:v>
                </c:pt>
                <c:pt idx="32">
                  <c:v>168</c:v>
                </c:pt>
                <c:pt idx="33">
                  <c:v>172</c:v>
                </c:pt>
                <c:pt idx="34">
                  <c:v>190</c:v>
                </c:pt>
                <c:pt idx="35">
                  <c:v>201</c:v>
                </c:pt>
                <c:pt idx="36">
                  <c:v>243</c:v>
                </c:pt>
                <c:pt idx="37">
                  <c:v>247</c:v>
                </c:pt>
                <c:pt idx="38">
                  <c:v>252</c:v>
                </c:pt>
                <c:pt idx="39">
                  <c:v>270</c:v>
                </c:pt>
                <c:pt idx="40">
                  <c:v>289</c:v>
                </c:pt>
                <c:pt idx="41">
                  <c:v>299</c:v>
                </c:pt>
                <c:pt idx="42">
                  <c:v>320</c:v>
                </c:pt>
                <c:pt idx="43">
                  <c:v>337</c:v>
                </c:pt>
                <c:pt idx="44">
                  <c:v>359</c:v>
                </c:pt>
                <c:pt idx="45">
                  <c:v>376</c:v>
                </c:pt>
                <c:pt idx="46">
                  <c:v>381</c:v>
                </c:pt>
                <c:pt idx="47">
                  <c:v>394</c:v>
                </c:pt>
                <c:pt idx="48">
                  <c:v>398</c:v>
                </c:pt>
                <c:pt idx="49">
                  <c:v>411</c:v>
                </c:pt>
                <c:pt idx="50">
                  <c:v>429</c:v>
                </c:pt>
                <c:pt idx="51">
                  <c:v>430</c:v>
                </c:pt>
                <c:pt idx="52">
                  <c:v>437</c:v>
                </c:pt>
                <c:pt idx="53">
                  <c:v>437</c:v>
                </c:pt>
                <c:pt idx="54">
                  <c:v>451</c:v>
                </c:pt>
                <c:pt idx="55">
                  <c:v>465</c:v>
                </c:pt>
                <c:pt idx="56">
                  <c:v>467</c:v>
                </c:pt>
                <c:pt idx="57">
                  <c:v>491</c:v>
                </c:pt>
                <c:pt idx="58">
                  <c:v>514</c:v>
                </c:pt>
                <c:pt idx="59">
                  <c:v>523</c:v>
                </c:pt>
                <c:pt idx="60">
                  <c:v>559</c:v>
                </c:pt>
                <c:pt idx="61">
                  <c:v>561</c:v>
                </c:pt>
                <c:pt idx="62">
                  <c:v>612</c:v>
                </c:pt>
                <c:pt idx="63">
                  <c:v>623</c:v>
                </c:pt>
                <c:pt idx="64">
                  <c:v>634</c:v>
                </c:pt>
                <c:pt idx="65">
                  <c:v>691</c:v>
                </c:pt>
                <c:pt idx="66">
                  <c:v>841</c:v>
                </c:pt>
                <c:pt idx="67">
                  <c:v>866</c:v>
                </c:pt>
                <c:pt idx="68">
                  <c:v>913</c:v>
                </c:pt>
                <c:pt idx="69">
                  <c:v>977</c:v>
                </c:pt>
                <c:pt idx="70">
                  <c:v>1000</c:v>
                </c:pt>
                <c:pt idx="71">
                  <c:v>1161</c:v>
                </c:pt>
                <c:pt idx="72">
                  <c:v>1200</c:v>
                </c:pt>
              </c:numCache>
            </c:numRef>
          </c:xVal>
          <c:yVal>
            <c:numRef>
              <c:f>'Angio Funnel'!$C$2:$C$74</c:f>
              <c:numCache>
                <c:formatCode>0.00%</c:formatCode>
                <c:ptCount val="73"/>
                <c:pt idx="0">
                  <c:v>0.5</c:v>
                </c:pt>
                <c:pt idx="1">
                  <c:v>0.27228957414627075</c:v>
                </c:pt>
                <c:pt idx="2">
                  <c:v>0.24130789935588837</c:v>
                </c:pt>
                <c:pt idx="3">
                  <c:v>0.1662384420633316</c:v>
                </c:pt>
                <c:pt idx="4">
                  <c:v>0.15586231648921967</c:v>
                </c:pt>
                <c:pt idx="5">
                  <c:v>0.14411081373691559</c:v>
                </c:pt>
                <c:pt idx="6">
                  <c:v>0.12678292393684387</c:v>
                </c:pt>
                <c:pt idx="7">
                  <c:v>0.12678292393684387</c:v>
                </c:pt>
                <c:pt idx="8">
                  <c:v>0.11954393237829208</c:v>
                </c:pt>
                <c:pt idx="9">
                  <c:v>0.11292429268360138</c:v>
                </c:pt>
                <c:pt idx="10">
                  <c:v>0.10888388007879257</c:v>
                </c:pt>
                <c:pt idx="11">
                  <c:v>0.10888388007879257</c:v>
                </c:pt>
                <c:pt idx="12">
                  <c:v>0.10067052394151688</c:v>
                </c:pt>
                <c:pt idx="13">
                  <c:v>9.8041631281375885E-2</c:v>
                </c:pt>
                <c:pt idx="14">
                  <c:v>9.6246778964996338E-2</c:v>
                </c:pt>
                <c:pt idx="15">
                  <c:v>9.4912528991699219E-2</c:v>
                </c:pt>
                <c:pt idx="16">
                  <c:v>9.4912528991699219E-2</c:v>
                </c:pt>
                <c:pt idx="17">
                  <c:v>9.4337806105613708E-2</c:v>
                </c:pt>
                <c:pt idx="18">
                  <c:v>9.3715846538543701E-2</c:v>
                </c:pt>
                <c:pt idx="19">
                  <c:v>9.1067410000000001E-2</c:v>
                </c:pt>
                <c:pt idx="20">
                  <c:v>9.1644793748855591E-2</c:v>
                </c:pt>
                <c:pt idx="21">
                  <c:v>8.6271040141582489E-2</c:v>
                </c:pt>
                <c:pt idx="22">
                  <c:v>8.4710255265235901E-2</c:v>
                </c:pt>
                <c:pt idx="23">
                  <c:v>7.2738796472549438E-2</c:v>
                </c:pt>
                <c:pt idx="24">
                  <c:v>7.257881760597229E-2</c:v>
                </c:pt>
                <c:pt idx="25">
                  <c:v>7.089165598154068E-2</c:v>
                </c:pt>
                <c:pt idx="26">
                  <c:v>6.6545300185680389E-2</c:v>
                </c:pt>
                <c:pt idx="27">
                  <c:v>6.6191494464874268E-2</c:v>
                </c:pt>
                <c:pt idx="28">
                  <c:v>6.5053835511207581E-2</c:v>
                </c:pt>
                <c:pt idx="29">
                  <c:v>6.5053835511207581E-2</c:v>
                </c:pt>
                <c:pt idx="30">
                  <c:v>6.4860932528972626E-2</c:v>
                </c:pt>
                <c:pt idx="31">
                  <c:v>6.1531029641628265E-2</c:v>
                </c:pt>
                <c:pt idx="32">
                  <c:v>6.0954861342906952E-2</c:v>
                </c:pt>
                <c:pt idx="33">
                  <c:v>6.0604512691497803E-2</c:v>
                </c:pt>
                <c:pt idx="34">
                  <c:v>5.7618424296379089E-2</c:v>
                </c:pt>
                <c:pt idx="35">
                  <c:v>5.6721385568380356E-2</c:v>
                </c:pt>
                <c:pt idx="36">
                  <c:v>5.2522357553243637E-2</c:v>
                </c:pt>
                <c:pt idx="37">
                  <c:v>5.2061520516872406E-2</c:v>
                </c:pt>
                <c:pt idx="38">
                  <c:v>5.1441807299852371E-2</c:v>
                </c:pt>
                <c:pt idx="39">
                  <c:v>5.0487358123064041E-2</c:v>
                </c:pt>
                <c:pt idx="40">
                  <c:v>4.8950470983982086E-2</c:v>
                </c:pt>
                <c:pt idx="41">
                  <c:v>4.8580281436443329E-2</c:v>
                </c:pt>
                <c:pt idx="42">
                  <c:v>4.7083858400583267E-2</c:v>
                </c:pt>
                <c:pt idx="43">
                  <c:v>4.6491093933582306E-2</c:v>
                </c:pt>
                <c:pt idx="44">
                  <c:v>4.5383390039205551E-2</c:v>
                </c:pt>
                <c:pt idx="45">
                  <c:v>4.4668149203062057E-2</c:v>
                </c:pt>
                <c:pt idx="46">
                  <c:v>4.4368855655193329E-2</c:v>
                </c:pt>
                <c:pt idx="47">
                  <c:v>4.3961845338344574E-2</c:v>
                </c:pt>
                <c:pt idx="48">
                  <c:v>4.3857723474502563E-2</c:v>
                </c:pt>
                <c:pt idx="49">
                  <c:v>4.3323773890733719E-2</c:v>
                </c:pt>
                <c:pt idx="50">
                  <c:v>4.2723242193460464E-2</c:v>
                </c:pt>
                <c:pt idx="51">
                  <c:v>4.2703010141849518E-2</c:v>
                </c:pt>
                <c:pt idx="52">
                  <c:v>4.2511407285928726E-2</c:v>
                </c:pt>
                <c:pt idx="53">
                  <c:v>4.2511407285928726E-2</c:v>
                </c:pt>
                <c:pt idx="54">
                  <c:v>4.1932318359613419E-2</c:v>
                </c:pt>
                <c:pt idx="55">
                  <c:v>4.1616030037403107E-2</c:v>
                </c:pt>
                <c:pt idx="56">
                  <c:v>4.1576441377401352E-2</c:v>
                </c:pt>
                <c:pt idx="57">
                  <c:v>4.072551429271698E-2</c:v>
                </c:pt>
                <c:pt idx="58">
                  <c:v>4.0315054357051849E-2</c:v>
                </c:pt>
                <c:pt idx="59">
                  <c:v>3.9998143911361694E-2</c:v>
                </c:pt>
                <c:pt idx="60">
                  <c:v>3.9194706827402115E-2</c:v>
                </c:pt>
                <c:pt idx="61">
                  <c:v>3.9124947041273117E-2</c:v>
                </c:pt>
                <c:pt idx="62">
                  <c:v>3.8220666348934174E-2</c:v>
                </c:pt>
                <c:pt idx="63">
                  <c:v>3.8023494184017181E-2</c:v>
                </c:pt>
                <c:pt idx="64">
                  <c:v>3.7741411477327347E-2</c:v>
                </c:pt>
                <c:pt idx="65">
                  <c:v>3.6903638392686844E-2</c:v>
                </c:pt>
                <c:pt idx="66">
                  <c:v>3.4943334758281708E-2</c:v>
                </c:pt>
                <c:pt idx="67">
                  <c:v>3.4603368490934372E-2</c:v>
                </c:pt>
                <c:pt idx="68">
                  <c:v>3.4165848046541214E-2</c:v>
                </c:pt>
                <c:pt idx="69">
                  <c:v>3.3588893711566925E-2</c:v>
                </c:pt>
                <c:pt idx="70">
                  <c:v>3.3412158489227295E-2</c:v>
                </c:pt>
                <c:pt idx="71">
                  <c:v>3.2212324440479279E-2</c:v>
                </c:pt>
                <c:pt idx="72">
                  <c:v>3.1573999999999998E-2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E3-401B-82A3-4464EDE6AA65}"/>
            </c:ext>
          </c:extLst>
        </c:ser>
        <c:ser>
          <c:idx val="3"/>
          <c:order val="3"/>
          <c:tx>
            <c:strRef>
              <c:f>'Angioplasty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'Angioplasty Summary'!$E$30</c:f>
              <c:numCache>
                <c:formatCode>General</c:formatCode>
                <c:ptCount val="1"/>
                <c:pt idx="0">
                  <c:v>73</c:v>
                </c:pt>
              </c:numCache>
            </c:numRef>
          </c:xVal>
          <c:yVal>
            <c:numRef>
              <c:f>'Angioplasty Summary'!$H$30</c:f>
              <c:numCache>
                <c:formatCode>0.0%</c:formatCode>
                <c:ptCount val="1"/>
                <c:pt idx="0">
                  <c:v>1.2E-2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E3-401B-82A3-4464EDE6AA65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 Funnel'!$B$2:$B$74</c:f>
              <c:numCache>
                <c:formatCode>General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15</c:v>
                </c:pt>
                <c:pt idx="3">
                  <c:v>24</c:v>
                </c:pt>
                <c:pt idx="4">
                  <c:v>29</c:v>
                </c:pt>
                <c:pt idx="5">
                  <c:v>33</c:v>
                </c:pt>
                <c:pt idx="6">
                  <c:v>39</c:v>
                </c:pt>
                <c:pt idx="7">
                  <c:v>39</c:v>
                </c:pt>
                <c:pt idx="8">
                  <c:v>43</c:v>
                </c:pt>
                <c:pt idx="9">
                  <c:v>50</c:v>
                </c:pt>
                <c:pt idx="10">
                  <c:v>53</c:v>
                </c:pt>
                <c:pt idx="11">
                  <c:v>53</c:v>
                </c:pt>
                <c:pt idx="12">
                  <c:v>59</c:v>
                </c:pt>
                <c:pt idx="13">
                  <c:v>61</c:v>
                </c:pt>
                <c:pt idx="14">
                  <c:v>65</c:v>
                </c:pt>
                <c:pt idx="15">
                  <c:v>68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73</c:v>
                </c:pt>
                <c:pt idx="20">
                  <c:v>73</c:v>
                </c:pt>
                <c:pt idx="21">
                  <c:v>80</c:v>
                </c:pt>
                <c:pt idx="22">
                  <c:v>82</c:v>
                </c:pt>
                <c:pt idx="23">
                  <c:v>114</c:v>
                </c:pt>
                <c:pt idx="24">
                  <c:v>115</c:v>
                </c:pt>
                <c:pt idx="25">
                  <c:v>122</c:v>
                </c:pt>
                <c:pt idx="26">
                  <c:v>135</c:v>
                </c:pt>
                <c:pt idx="27">
                  <c:v>138</c:v>
                </c:pt>
                <c:pt idx="28">
                  <c:v>147</c:v>
                </c:pt>
                <c:pt idx="29">
                  <c:v>147</c:v>
                </c:pt>
                <c:pt idx="30">
                  <c:v>148</c:v>
                </c:pt>
                <c:pt idx="31">
                  <c:v>162</c:v>
                </c:pt>
                <c:pt idx="32">
                  <c:v>168</c:v>
                </c:pt>
                <c:pt idx="33">
                  <c:v>172</c:v>
                </c:pt>
                <c:pt idx="34">
                  <c:v>190</c:v>
                </c:pt>
                <c:pt idx="35">
                  <c:v>201</c:v>
                </c:pt>
                <c:pt idx="36">
                  <c:v>243</c:v>
                </c:pt>
                <c:pt idx="37">
                  <c:v>247</c:v>
                </c:pt>
                <c:pt idx="38">
                  <c:v>252</c:v>
                </c:pt>
                <c:pt idx="39">
                  <c:v>270</c:v>
                </c:pt>
                <c:pt idx="40">
                  <c:v>289</c:v>
                </c:pt>
                <c:pt idx="41">
                  <c:v>299</c:v>
                </c:pt>
                <c:pt idx="42">
                  <c:v>320</c:v>
                </c:pt>
                <c:pt idx="43">
                  <c:v>337</c:v>
                </c:pt>
                <c:pt idx="44">
                  <c:v>359</c:v>
                </c:pt>
                <c:pt idx="45">
                  <c:v>376</c:v>
                </c:pt>
                <c:pt idx="46">
                  <c:v>381</c:v>
                </c:pt>
                <c:pt idx="47">
                  <c:v>394</c:v>
                </c:pt>
                <c:pt idx="48">
                  <c:v>398</c:v>
                </c:pt>
                <c:pt idx="49">
                  <c:v>411</c:v>
                </c:pt>
                <c:pt idx="50">
                  <c:v>429</c:v>
                </c:pt>
                <c:pt idx="51">
                  <c:v>430</c:v>
                </c:pt>
                <c:pt idx="52">
                  <c:v>437</c:v>
                </c:pt>
                <c:pt idx="53">
                  <c:v>437</c:v>
                </c:pt>
                <c:pt idx="54">
                  <c:v>451</c:v>
                </c:pt>
                <c:pt idx="55">
                  <c:v>465</c:v>
                </c:pt>
                <c:pt idx="56">
                  <c:v>467</c:v>
                </c:pt>
                <c:pt idx="57">
                  <c:v>491</c:v>
                </c:pt>
                <c:pt idx="58">
                  <c:v>514</c:v>
                </c:pt>
                <c:pt idx="59">
                  <c:v>523</c:v>
                </c:pt>
                <c:pt idx="60">
                  <c:v>559</c:v>
                </c:pt>
                <c:pt idx="61">
                  <c:v>561</c:v>
                </c:pt>
                <c:pt idx="62">
                  <c:v>612</c:v>
                </c:pt>
                <c:pt idx="63">
                  <c:v>623</c:v>
                </c:pt>
                <c:pt idx="64">
                  <c:v>634</c:v>
                </c:pt>
                <c:pt idx="65">
                  <c:v>691</c:v>
                </c:pt>
                <c:pt idx="66">
                  <c:v>841</c:v>
                </c:pt>
                <c:pt idx="67">
                  <c:v>866</c:v>
                </c:pt>
                <c:pt idx="68">
                  <c:v>913</c:v>
                </c:pt>
                <c:pt idx="69">
                  <c:v>977</c:v>
                </c:pt>
                <c:pt idx="70">
                  <c:v>1000</c:v>
                </c:pt>
                <c:pt idx="71">
                  <c:v>1161</c:v>
                </c:pt>
                <c:pt idx="72">
                  <c:v>1200</c:v>
                </c:pt>
              </c:numCache>
            </c:numRef>
          </c:xVal>
          <c:yVal>
            <c:numRef>
              <c:f>'Angio Funnel'!$D$2:$D$74</c:f>
              <c:numCache>
                <c:formatCode>0.00%</c:formatCode>
                <c:ptCount val="73"/>
                <c:pt idx="46">
                  <c:v>7.1652139013167471E-5</c:v>
                </c:pt>
                <c:pt idx="47">
                  <c:v>1.7918502271641046E-4</c:v>
                </c:pt>
                <c:pt idx="48">
                  <c:v>2.1513532556127757E-4</c:v>
                </c:pt>
                <c:pt idx="49">
                  <c:v>3.43174091540277E-4</c:v>
                </c:pt>
                <c:pt idx="50">
                  <c:v>5.553150549530983E-4</c:v>
                </c:pt>
                <c:pt idx="51">
                  <c:v>5.6851992849260569E-4</c:v>
                </c:pt>
                <c:pt idx="52">
                  <c:v>6.6577584948390722E-4</c:v>
                </c:pt>
                <c:pt idx="53">
                  <c:v>6.6577584948390722E-4</c:v>
                </c:pt>
                <c:pt idx="54">
                  <c:v>8.8889198377728462E-4</c:v>
                </c:pt>
                <c:pt idx="55">
                  <c:v>1.158145722001791E-3</c:v>
                </c:pt>
                <c:pt idx="56">
                  <c:v>1.2010199716314673E-3</c:v>
                </c:pt>
                <c:pt idx="57">
                  <c:v>1.822079299017787E-3</c:v>
                </c:pt>
                <c:pt idx="58">
                  <c:v>2.0934641361236572E-3</c:v>
                </c:pt>
                <c:pt idx="59">
                  <c:v>2.1484713070094585E-3</c:v>
                </c:pt>
                <c:pt idx="60">
                  <c:v>2.4807711597532034E-3</c:v>
                </c:pt>
                <c:pt idx="61">
                  <c:v>2.5057741440832615E-3</c:v>
                </c:pt>
                <c:pt idx="62">
                  <c:v>3.3289559651166201E-3</c:v>
                </c:pt>
                <c:pt idx="63">
                  <c:v>3.3718664199113846E-3</c:v>
                </c:pt>
                <c:pt idx="64">
                  <c:v>3.4282137639820576E-3</c:v>
                </c:pt>
                <c:pt idx="65">
                  <c:v>4.0268423035740852E-3</c:v>
                </c:pt>
                <c:pt idx="66">
                  <c:v>5.1749139092862606E-3</c:v>
                </c:pt>
                <c:pt idx="67">
                  <c:v>5.3758006542921066E-3</c:v>
                </c:pt>
                <c:pt idx="68">
                  <c:v>5.6955167092382908E-3</c:v>
                </c:pt>
                <c:pt idx="69">
                  <c:v>6.1625530943274498E-3</c:v>
                </c:pt>
                <c:pt idx="70">
                  <c:v>6.2125464901328087E-3</c:v>
                </c:pt>
                <c:pt idx="71">
                  <c:v>7.0357886143028736E-3</c:v>
                </c:pt>
                <c:pt idx="72">
                  <c:v>6.9949950000000004E-3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3-4C39-9C20-859BF100B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1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100"/>
      </c:valAx>
      <c:valAx>
        <c:axId val="5784934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Bypass'!$J$1</c:f>
              <c:strCache>
                <c:ptCount val="1"/>
                <c:pt idx="0">
                  <c:v>Adjusted in-hospital mortality bypass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Bypass'!$C$2:$C$71</c:f>
              <c:numCache>
                <c:formatCode>0</c:formatCode>
                <c:ptCount val="70"/>
                <c:pt idx="0">
                  <c:v>198</c:v>
                </c:pt>
                <c:pt idx="1">
                  <c:v>86</c:v>
                </c:pt>
                <c:pt idx="2">
                  <c:v>148</c:v>
                </c:pt>
                <c:pt idx="3">
                  <c:v>223</c:v>
                </c:pt>
                <c:pt idx="4">
                  <c:v>429</c:v>
                </c:pt>
                <c:pt idx="5">
                  <c:v>281</c:v>
                </c:pt>
                <c:pt idx="6">
                  <c:v>174</c:v>
                </c:pt>
                <c:pt idx="7">
                  <c:v>386</c:v>
                </c:pt>
                <c:pt idx="8">
                  <c:v>196</c:v>
                </c:pt>
                <c:pt idx="9">
                  <c:v>386</c:v>
                </c:pt>
                <c:pt idx="10">
                  <c:v>98</c:v>
                </c:pt>
                <c:pt idx="11">
                  <c:v>72</c:v>
                </c:pt>
                <c:pt idx="12">
                  <c:v>128</c:v>
                </c:pt>
                <c:pt idx="13">
                  <c:v>445</c:v>
                </c:pt>
                <c:pt idx="14">
                  <c:v>295</c:v>
                </c:pt>
                <c:pt idx="15">
                  <c:v>383</c:v>
                </c:pt>
                <c:pt idx="16">
                  <c:v>252</c:v>
                </c:pt>
                <c:pt idx="17">
                  <c:v>476</c:v>
                </c:pt>
                <c:pt idx="18">
                  <c:v>388</c:v>
                </c:pt>
                <c:pt idx="19">
                  <c:v>328</c:v>
                </c:pt>
                <c:pt idx="20">
                  <c:v>263</c:v>
                </c:pt>
                <c:pt idx="21">
                  <c:v>561</c:v>
                </c:pt>
                <c:pt idx="22">
                  <c:v>264</c:v>
                </c:pt>
                <c:pt idx="23">
                  <c:v>487</c:v>
                </c:pt>
                <c:pt idx="24">
                  <c:v>110</c:v>
                </c:pt>
                <c:pt idx="25">
                  <c:v>329</c:v>
                </c:pt>
                <c:pt idx="26">
                  <c:v>96</c:v>
                </c:pt>
                <c:pt idx="27">
                  <c:v>308</c:v>
                </c:pt>
                <c:pt idx="28">
                  <c:v>355</c:v>
                </c:pt>
                <c:pt idx="29">
                  <c:v>12</c:v>
                </c:pt>
                <c:pt idx="30">
                  <c:v>125</c:v>
                </c:pt>
                <c:pt idx="31">
                  <c:v>189</c:v>
                </c:pt>
                <c:pt idx="32">
                  <c:v>199</c:v>
                </c:pt>
                <c:pt idx="33">
                  <c:v>121</c:v>
                </c:pt>
                <c:pt idx="34">
                  <c:v>74</c:v>
                </c:pt>
                <c:pt idx="35">
                  <c:v>73</c:v>
                </c:pt>
                <c:pt idx="36">
                  <c:v>188</c:v>
                </c:pt>
                <c:pt idx="37">
                  <c:v>436</c:v>
                </c:pt>
                <c:pt idx="38">
                  <c:v>225</c:v>
                </c:pt>
                <c:pt idx="39">
                  <c:v>205</c:v>
                </c:pt>
                <c:pt idx="40">
                  <c:v>535</c:v>
                </c:pt>
                <c:pt idx="41">
                  <c:v>121</c:v>
                </c:pt>
                <c:pt idx="42">
                  <c:v>166</c:v>
                </c:pt>
                <c:pt idx="43">
                  <c:v>46</c:v>
                </c:pt>
                <c:pt idx="44">
                  <c:v>18</c:v>
                </c:pt>
                <c:pt idx="45">
                  <c:v>229</c:v>
                </c:pt>
                <c:pt idx="46">
                  <c:v>226</c:v>
                </c:pt>
                <c:pt idx="47">
                  <c:v>193</c:v>
                </c:pt>
                <c:pt idx="48">
                  <c:v>142</c:v>
                </c:pt>
                <c:pt idx="49">
                  <c:v>286</c:v>
                </c:pt>
                <c:pt idx="50">
                  <c:v>433</c:v>
                </c:pt>
                <c:pt idx="51">
                  <c:v>173</c:v>
                </c:pt>
                <c:pt idx="52">
                  <c:v>144</c:v>
                </c:pt>
                <c:pt idx="53">
                  <c:v>260</c:v>
                </c:pt>
                <c:pt idx="54">
                  <c:v>357</c:v>
                </c:pt>
                <c:pt idx="55">
                  <c:v>385</c:v>
                </c:pt>
                <c:pt idx="56">
                  <c:v>18</c:v>
                </c:pt>
                <c:pt idx="57">
                  <c:v>141</c:v>
                </c:pt>
                <c:pt idx="58">
                  <c:v>397</c:v>
                </c:pt>
                <c:pt idx="59">
                  <c:v>471</c:v>
                </c:pt>
                <c:pt idx="60">
                  <c:v>257</c:v>
                </c:pt>
                <c:pt idx="61">
                  <c:v>461</c:v>
                </c:pt>
                <c:pt idx="62">
                  <c:v>247</c:v>
                </c:pt>
                <c:pt idx="63">
                  <c:v>182</c:v>
                </c:pt>
                <c:pt idx="64">
                  <c:v>324</c:v>
                </c:pt>
                <c:pt idx="65">
                  <c:v>343</c:v>
                </c:pt>
                <c:pt idx="66">
                  <c:v>149</c:v>
                </c:pt>
                <c:pt idx="67">
                  <c:v>122</c:v>
                </c:pt>
                <c:pt idx="68">
                  <c:v>386</c:v>
                </c:pt>
                <c:pt idx="69">
                  <c:v>341</c:v>
                </c:pt>
              </c:numCache>
            </c:numRef>
          </c:xVal>
          <c:yVal>
            <c:numRef>
              <c:f>'Lower Limb Bypass'!$J$2:$J$71</c:f>
              <c:numCache>
                <c:formatCode>0.0%</c:formatCode>
                <c:ptCount val="70"/>
                <c:pt idx="0">
                  <c:v>3.2000000000000001E-2</c:v>
                </c:pt>
                <c:pt idx="1">
                  <c:v>7.2999999999999995E-2</c:v>
                </c:pt>
                <c:pt idx="2">
                  <c:v>3.2000000000000001E-2</c:v>
                </c:pt>
                <c:pt idx="3">
                  <c:v>2.7E-2</c:v>
                </c:pt>
                <c:pt idx="4">
                  <c:v>1.7000000000000001E-2</c:v>
                </c:pt>
                <c:pt idx="5">
                  <c:v>4.2000000000000003E-2</c:v>
                </c:pt>
                <c:pt idx="6">
                  <c:v>4.7E-2</c:v>
                </c:pt>
                <c:pt idx="7">
                  <c:v>1.0999999999999999E-2</c:v>
                </c:pt>
                <c:pt idx="8">
                  <c:v>2.1999999999999999E-2</c:v>
                </c:pt>
                <c:pt idx="9">
                  <c:v>3.9E-2</c:v>
                </c:pt>
                <c:pt idx="10">
                  <c:v>1.7000000000000001E-2</c:v>
                </c:pt>
                <c:pt idx="11">
                  <c:v>1.0999999999999999E-2</c:v>
                </c:pt>
                <c:pt idx="12">
                  <c:v>3.4000000000000002E-2</c:v>
                </c:pt>
                <c:pt idx="13">
                  <c:v>3.1E-2</c:v>
                </c:pt>
                <c:pt idx="14">
                  <c:v>3.4000000000000002E-2</c:v>
                </c:pt>
                <c:pt idx="15">
                  <c:v>2.1000000000000001E-2</c:v>
                </c:pt>
                <c:pt idx="16">
                  <c:v>1.9E-2</c:v>
                </c:pt>
                <c:pt idx="17">
                  <c:v>1.9E-2</c:v>
                </c:pt>
                <c:pt idx="18">
                  <c:v>2.3E-2</c:v>
                </c:pt>
                <c:pt idx="19">
                  <c:v>3.6999999999999998E-2</c:v>
                </c:pt>
                <c:pt idx="20">
                  <c:v>4.4999999999999998E-2</c:v>
                </c:pt>
                <c:pt idx="21">
                  <c:v>2.1999999999999999E-2</c:v>
                </c:pt>
                <c:pt idx="22">
                  <c:v>3.5999999999999997E-2</c:v>
                </c:pt>
                <c:pt idx="23">
                  <c:v>2.5000000000000001E-2</c:v>
                </c:pt>
                <c:pt idx="24">
                  <c:v>3.5999999999999997E-2</c:v>
                </c:pt>
                <c:pt idx="25">
                  <c:v>4.2999999999999997E-2</c:v>
                </c:pt>
                <c:pt idx="26">
                  <c:v>1.0999999999999999E-2</c:v>
                </c:pt>
                <c:pt idx="27">
                  <c:v>2.9000000000000001E-2</c:v>
                </c:pt>
                <c:pt idx="28">
                  <c:v>2.7E-2</c:v>
                </c:pt>
                <c:pt idx="29">
                  <c:v>0</c:v>
                </c:pt>
                <c:pt idx="30">
                  <c:v>0.02</c:v>
                </c:pt>
                <c:pt idx="31">
                  <c:v>4.7E-2</c:v>
                </c:pt>
                <c:pt idx="32">
                  <c:v>0.02</c:v>
                </c:pt>
                <c:pt idx="33">
                  <c:v>2.4E-2</c:v>
                </c:pt>
                <c:pt idx="34">
                  <c:v>2.9000000000000001E-2</c:v>
                </c:pt>
                <c:pt idx="35">
                  <c:v>0</c:v>
                </c:pt>
                <c:pt idx="36">
                  <c:v>3.3000000000000002E-2</c:v>
                </c:pt>
                <c:pt idx="37">
                  <c:v>1.7000000000000001E-2</c:v>
                </c:pt>
                <c:pt idx="38">
                  <c:v>3.7999999999999999E-2</c:v>
                </c:pt>
                <c:pt idx="39">
                  <c:v>3.3000000000000002E-2</c:v>
                </c:pt>
                <c:pt idx="40">
                  <c:v>3.4000000000000002E-2</c:v>
                </c:pt>
                <c:pt idx="41">
                  <c:v>3.1E-2</c:v>
                </c:pt>
                <c:pt idx="42">
                  <c:v>8.0000000000000002E-3</c:v>
                </c:pt>
                <c:pt idx="43">
                  <c:v>0.14099999999999999</c:v>
                </c:pt>
                <c:pt idx="44">
                  <c:v>0.106</c:v>
                </c:pt>
                <c:pt idx="45">
                  <c:v>1.7999999999999999E-2</c:v>
                </c:pt>
                <c:pt idx="46">
                  <c:v>2.3E-2</c:v>
                </c:pt>
                <c:pt idx="47">
                  <c:v>1.7000000000000001E-2</c:v>
                </c:pt>
                <c:pt idx="48">
                  <c:v>0</c:v>
                </c:pt>
                <c:pt idx="49">
                  <c:v>2.1000000000000001E-2</c:v>
                </c:pt>
                <c:pt idx="50">
                  <c:v>1.2E-2</c:v>
                </c:pt>
                <c:pt idx="51">
                  <c:v>2.3E-2</c:v>
                </c:pt>
                <c:pt idx="52">
                  <c:v>1.7000000000000001E-2</c:v>
                </c:pt>
                <c:pt idx="53">
                  <c:v>3.4000000000000002E-2</c:v>
                </c:pt>
                <c:pt idx="54">
                  <c:v>2.3E-2</c:v>
                </c:pt>
                <c:pt idx="55">
                  <c:v>3.5000000000000003E-2</c:v>
                </c:pt>
                <c:pt idx="56">
                  <c:v>0</c:v>
                </c:pt>
                <c:pt idx="57">
                  <c:v>1.7999999999999999E-2</c:v>
                </c:pt>
                <c:pt idx="58">
                  <c:v>4.8000000000000001E-2</c:v>
                </c:pt>
                <c:pt idx="59">
                  <c:v>0.01</c:v>
                </c:pt>
                <c:pt idx="60">
                  <c:v>0.02</c:v>
                </c:pt>
                <c:pt idx="61">
                  <c:v>0.04</c:v>
                </c:pt>
                <c:pt idx="62">
                  <c:v>0.05</c:v>
                </c:pt>
                <c:pt idx="63">
                  <c:v>0</c:v>
                </c:pt>
                <c:pt idx="64">
                  <c:v>2.5000000000000001E-2</c:v>
                </c:pt>
                <c:pt idx="65">
                  <c:v>1.2E-2</c:v>
                </c:pt>
                <c:pt idx="66">
                  <c:v>2.1000000000000001E-2</c:v>
                </c:pt>
                <c:pt idx="67">
                  <c:v>0.05</c:v>
                </c:pt>
                <c:pt idx="68">
                  <c:v>2.1999999999999999E-2</c:v>
                </c:pt>
                <c:pt idx="69">
                  <c:v>4.8000000000000001E-2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F-4104-BBA1-A6FFBC42C836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'Bypass Funnel'!$B$2:$B$69</c:f>
              <c:numCache>
                <c:formatCode>0</c:formatCode>
                <c:ptCount val="68"/>
                <c:pt idx="0" formatCode="General">
                  <c:v>0</c:v>
                </c:pt>
                <c:pt idx="1">
                  <c:v>12</c:v>
                </c:pt>
                <c:pt idx="2">
                  <c:v>18</c:v>
                </c:pt>
                <c:pt idx="3">
                  <c:v>46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86</c:v>
                </c:pt>
                <c:pt idx="8">
                  <c:v>96</c:v>
                </c:pt>
                <c:pt idx="9">
                  <c:v>98</c:v>
                </c:pt>
                <c:pt idx="10">
                  <c:v>110</c:v>
                </c:pt>
                <c:pt idx="11">
                  <c:v>121</c:v>
                </c:pt>
                <c:pt idx="12">
                  <c:v>122</c:v>
                </c:pt>
                <c:pt idx="13">
                  <c:v>125</c:v>
                </c:pt>
                <c:pt idx="14">
                  <c:v>128</c:v>
                </c:pt>
                <c:pt idx="15">
                  <c:v>141</c:v>
                </c:pt>
                <c:pt idx="16">
                  <c:v>142</c:v>
                </c:pt>
                <c:pt idx="17">
                  <c:v>144</c:v>
                </c:pt>
                <c:pt idx="18">
                  <c:v>148</c:v>
                </c:pt>
                <c:pt idx="19">
                  <c:v>149</c:v>
                </c:pt>
                <c:pt idx="20">
                  <c:v>166</c:v>
                </c:pt>
                <c:pt idx="21">
                  <c:v>173</c:v>
                </c:pt>
                <c:pt idx="22">
                  <c:v>174</c:v>
                </c:pt>
                <c:pt idx="23">
                  <c:v>182</c:v>
                </c:pt>
                <c:pt idx="24">
                  <c:v>188</c:v>
                </c:pt>
                <c:pt idx="25">
                  <c:v>189</c:v>
                </c:pt>
                <c:pt idx="26">
                  <c:v>193</c:v>
                </c:pt>
                <c:pt idx="27">
                  <c:v>196</c:v>
                </c:pt>
                <c:pt idx="28">
                  <c:v>198</c:v>
                </c:pt>
                <c:pt idx="29">
                  <c:v>199</c:v>
                </c:pt>
                <c:pt idx="30">
                  <c:v>205</c:v>
                </c:pt>
                <c:pt idx="31">
                  <c:v>223</c:v>
                </c:pt>
                <c:pt idx="32">
                  <c:v>225</c:v>
                </c:pt>
                <c:pt idx="33">
                  <c:v>226</c:v>
                </c:pt>
                <c:pt idx="34">
                  <c:v>229</c:v>
                </c:pt>
                <c:pt idx="35">
                  <c:v>247</c:v>
                </c:pt>
                <c:pt idx="36">
                  <c:v>252</c:v>
                </c:pt>
                <c:pt idx="37">
                  <c:v>257</c:v>
                </c:pt>
                <c:pt idx="38">
                  <c:v>260</c:v>
                </c:pt>
                <c:pt idx="39">
                  <c:v>263</c:v>
                </c:pt>
                <c:pt idx="40">
                  <c:v>264</c:v>
                </c:pt>
                <c:pt idx="41">
                  <c:v>281</c:v>
                </c:pt>
                <c:pt idx="42">
                  <c:v>286</c:v>
                </c:pt>
                <c:pt idx="43">
                  <c:v>295</c:v>
                </c:pt>
                <c:pt idx="44">
                  <c:v>308</c:v>
                </c:pt>
                <c:pt idx="45">
                  <c:v>324</c:v>
                </c:pt>
                <c:pt idx="46">
                  <c:v>328</c:v>
                </c:pt>
                <c:pt idx="47">
                  <c:v>329</c:v>
                </c:pt>
                <c:pt idx="48">
                  <c:v>341</c:v>
                </c:pt>
                <c:pt idx="49">
                  <c:v>343</c:v>
                </c:pt>
                <c:pt idx="50">
                  <c:v>355</c:v>
                </c:pt>
                <c:pt idx="51">
                  <c:v>357</c:v>
                </c:pt>
                <c:pt idx="52">
                  <c:v>383</c:v>
                </c:pt>
                <c:pt idx="53">
                  <c:v>385</c:v>
                </c:pt>
                <c:pt idx="54">
                  <c:v>386</c:v>
                </c:pt>
                <c:pt idx="55">
                  <c:v>388</c:v>
                </c:pt>
                <c:pt idx="56">
                  <c:v>397</c:v>
                </c:pt>
                <c:pt idx="57">
                  <c:v>429</c:v>
                </c:pt>
                <c:pt idx="58">
                  <c:v>433</c:v>
                </c:pt>
                <c:pt idx="59">
                  <c:v>436</c:v>
                </c:pt>
                <c:pt idx="60">
                  <c:v>445</c:v>
                </c:pt>
                <c:pt idx="61">
                  <c:v>461</c:v>
                </c:pt>
                <c:pt idx="62">
                  <c:v>471</c:v>
                </c:pt>
                <c:pt idx="63">
                  <c:v>476</c:v>
                </c:pt>
                <c:pt idx="64">
                  <c:v>487</c:v>
                </c:pt>
                <c:pt idx="65">
                  <c:v>535</c:v>
                </c:pt>
                <c:pt idx="66">
                  <c:v>561</c:v>
                </c:pt>
                <c:pt idx="67" formatCode="General">
                  <c:v>600</c:v>
                </c:pt>
              </c:numCache>
            </c:numRef>
          </c:xVal>
          <c:yVal>
            <c:numRef>
              <c:f>'Bypass Funnel'!$D$2:$D$69</c:f>
              <c:numCache>
                <c:formatCode>0.0%</c:formatCode>
                <c:ptCount val="68"/>
                <c:pt idx="0">
                  <c:v>2.8000000000000001E-2</c:v>
                </c:pt>
                <c:pt idx="1">
                  <c:v>2.8000000000000001E-2</c:v>
                </c:pt>
                <c:pt idx="2">
                  <c:v>2.8000000000000001E-2</c:v>
                </c:pt>
                <c:pt idx="3">
                  <c:v>2.8000000000000001E-2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2.8000000000000001E-2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  <c:pt idx="12">
                  <c:v>2.8000000000000001E-2</c:v>
                </c:pt>
                <c:pt idx="13">
                  <c:v>2.8000000000000001E-2</c:v>
                </c:pt>
                <c:pt idx="14">
                  <c:v>2.8000000000000001E-2</c:v>
                </c:pt>
                <c:pt idx="15">
                  <c:v>2.8000000000000001E-2</c:v>
                </c:pt>
                <c:pt idx="16">
                  <c:v>2.8000000000000001E-2</c:v>
                </c:pt>
                <c:pt idx="17">
                  <c:v>2.8000000000000001E-2</c:v>
                </c:pt>
                <c:pt idx="18">
                  <c:v>2.8000000000000001E-2</c:v>
                </c:pt>
                <c:pt idx="19">
                  <c:v>2.8000000000000001E-2</c:v>
                </c:pt>
                <c:pt idx="20">
                  <c:v>2.8000000000000001E-2</c:v>
                </c:pt>
                <c:pt idx="21">
                  <c:v>2.8000000000000001E-2</c:v>
                </c:pt>
                <c:pt idx="22">
                  <c:v>2.8000000000000001E-2</c:v>
                </c:pt>
                <c:pt idx="23">
                  <c:v>2.8000000000000001E-2</c:v>
                </c:pt>
                <c:pt idx="24">
                  <c:v>2.8000000000000001E-2</c:v>
                </c:pt>
                <c:pt idx="25">
                  <c:v>2.8000000000000001E-2</c:v>
                </c:pt>
                <c:pt idx="26">
                  <c:v>2.8000000000000001E-2</c:v>
                </c:pt>
                <c:pt idx="27">
                  <c:v>2.8000000000000001E-2</c:v>
                </c:pt>
                <c:pt idx="28">
                  <c:v>2.8000000000000001E-2</c:v>
                </c:pt>
                <c:pt idx="29">
                  <c:v>2.8000000000000001E-2</c:v>
                </c:pt>
                <c:pt idx="30">
                  <c:v>2.8000000000000001E-2</c:v>
                </c:pt>
                <c:pt idx="31">
                  <c:v>2.8000000000000001E-2</c:v>
                </c:pt>
                <c:pt idx="32">
                  <c:v>2.8000000000000001E-2</c:v>
                </c:pt>
                <c:pt idx="33">
                  <c:v>2.8000000000000001E-2</c:v>
                </c:pt>
                <c:pt idx="34">
                  <c:v>2.8000000000000001E-2</c:v>
                </c:pt>
                <c:pt idx="35">
                  <c:v>2.8000000000000001E-2</c:v>
                </c:pt>
                <c:pt idx="36">
                  <c:v>2.8000000000000001E-2</c:v>
                </c:pt>
                <c:pt idx="37">
                  <c:v>2.8000000000000001E-2</c:v>
                </c:pt>
                <c:pt idx="38">
                  <c:v>2.8000000000000001E-2</c:v>
                </c:pt>
                <c:pt idx="39">
                  <c:v>2.8000000000000001E-2</c:v>
                </c:pt>
                <c:pt idx="40">
                  <c:v>2.8000000000000001E-2</c:v>
                </c:pt>
                <c:pt idx="41">
                  <c:v>2.8000000000000001E-2</c:v>
                </c:pt>
                <c:pt idx="42">
                  <c:v>2.8000000000000001E-2</c:v>
                </c:pt>
                <c:pt idx="43">
                  <c:v>2.8000000000000001E-2</c:v>
                </c:pt>
                <c:pt idx="44">
                  <c:v>2.8000000000000001E-2</c:v>
                </c:pt>
                <c:pt idx="45">
                  <c:v>2.8000000000000001E-2</c:v>
                </c:pt>
                <c:pt idx="46">
                  <c:v>2.8000000000000001E-2</c:v>
                </c:pt>
                <c:pt idx="47">
                  <c:v>2.8000000000000001E-2</c:v>
                </c:pt>
                <c:pt idx="48">
                  <c:v>2.8000000000000001E-2</c:v>
                </c:pt>
                <c:pt idx="49">
                  <c:v>2.8000000000000001E-2</c:v>
                </c:pt>
                <c:pt idx="50">
                  <c:v>2.8000000000000001E-2</c:v>
                </c:pt>
                <c:pt idx="51">
                  <c:v>2.8000000000000001E-2</c:v>
                </c:pt>
                <c:pt idx="52">
                  <c:v>2.8000000000000001E-2</c:v>
                </c:pt>
                <c:pt idx="53">
                  <c:v>2.8000000000000001E-2</c:v>
                </c:pt>
                <c:pt idx="54">
                  <c:v>2.8000000000000001E-2</c:v>
                </c:pt>
                <c:pt idx="55">
                  <c:v>2.8000000000000001E-2</c:v>
                </c:pt>
                <c:pt idx="56">
                  <c:v>2.8000000000000001E-2</c:v>
                </c:pt>
                <c:pt idx="57">
                  <c:v>2.8000000000000001E-2</c:v>
                </c:pt>
                <c:pt idx="58">
                  <c:v>2.8000000000000001E-2</c:v>
                </c:pt>
                <c:pt idx="59">
                  <c:v>2.8000000000000001E-2</c:v>
                </c:pt>
                <c:pt idx="60">
                  <c:v>2.8000000000000001E-2</c:v>
                </c:pt>
                <c:pt idx="61">
                  <c:v>2.8000000000000001E-2</c:v>
                </c:pt>
                <c:pt idx="62">
                  <c:v>2.8000000000000001E-2</c:v>
                </c:pt>
                <c:pt idx="63">
                  <c:v>2.8000000000000001E-2</c:v>
                </c:pt>
                <c:pt idx="64">
                  <c:v>2.8000000000000001E-2</c:v>
                </c:pt>
                <c:pt idx="65">
                  <c:v>2.8000000000000001E-2</c:v>
                </c:pt>
                <c:pt idx="66">
                  <c:v>2.8000000000000001E-2</c:v>
                </c:pt>
                <c:pt idx="67">
                  <c:v>2.8000000000000001E-2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F-4104-BBA1-A6FFBC42C836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'Bypass Funnel'!$B$2:$B$69</c:f>
              <c:numCache>
                <c:formatCode>0</c:formatCode>
                <c:ptCount val="68"/>
                <c:pt idx="0" formatCode="General">
                  <c:v>0</c:v>
                </c:pt>
                <c:pt idx="1">
                  <c:v>12</c:v>
                </c:pt>
                <c:pt idx="2">
                  <c:v>18</c:v>
                </c:pt>
                <c:pt idx="3">
                  <c:v>46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86</c:v>
                </c:pt>
                <c:pt idx="8">
                  <c:v>96</c:v>
                </c:pt>
                <c:pt idx="9">
                  <c:v>98</c:v>
                </c:pt>
                <c:pt idx="10">
                  <c:v>110</c:v>
                </c:pt>
                <c:pt idx="11">
                  <c:v>121</c:v>
                </c:pt>
                <c:pt idx="12">
                  <c:v>122</c:v>
                </c:pt>
                <c:pt idx="13">
                  <c:v>125</c:v>
                </c:pt>
                <c:pt idx="14">
                  <c:v>128</c:v>
                </c:pt>
                <c:pt idx="15">
                  <c:v>141</c:v>
                </c:pt>
                <c:pt idx="16">
                  <c:v>142</c:v>
                </c:pt>
                <c:pt idx="17">
                  <c:v>144</c:v>
                </c:pt>
                <c:pt idx="18">
                  <c:v>148</c:v>
                </c:pt>
                <c:pt idx="19">
                  <c:v>149</c:v>
                </c:pt>
                <c:pt idx="20">
                  <c:v>166</c:v>
                </c:pt>
                <c:pt idx="21">
                  <c:v>173</c:v>
                </c:pt>
                <c:pt idx="22">
                  <c:v>174</c:v>
                </c:pt>
                <c:pt idx="23">
                  <c:v>182</c:v>
                </c:pt>
                <c:pt idx="24">
                  <c:v>188</c:v>
                </c:pt>
                <c:pt idx="25">
                  <c:v>189</c:v>
                </c:pt>
                <c:pt idx="26">
                  <c:v>193</c:v>
                </c:pt>
                <c:pt idx="27">
                  <c:v>196</c:v>
                </c:pt>
                <c:pt idx="28">
                  <c:v>198</c:v>
                </c:pt>
                <c:pt idx="29">
                  <c:v>199</c:v>
                </c:pt>
                <c:pt idx="30">
                  <c:v>205</c:v>
                </c:pt>
                <c:pt idx="31">
                  <c:v>223</c:v>
                </c:pt>
                <c:pt idx="32">
                  <c:v>225</c:v>
                </c:pt>
                <c:pt idx="33">
                  <c:v>226</c:v>
                </c:pt>
                <c:pt idx="34">
                  <c:v>229</c:v>
                </c:pt>
                <c:pt idx="35">
                  <c:v>247</c:v>
                </c:pt>
                <c:pt idx="36">
                  <c:v>252</c:v>
                </c:pt>
                <c:pt idx="37">
                  <c:v>257</c:v>
                </c:pt>
                <c:pt idx="38">
                  <c:v>260</c:v>
                </c:pt>
                <c:pt idx="39">
                  <c:v>263</c:v>
                </c:pt>
                <c:pt idx="40">
                  <c:v>264</c:v>
                </c:pt>
                <c:pt idx="41">
                  <c:v>281</c:v>
                </c:pt>
                <c:pt idx="42">
                  <c:v>286</c:v>
                </c:pt>
                <c:pt idx="43">
                  <c:v>295</c:v>
                </c:pt>
                <c:pt idx="44">
                  <c:v>308</c:v>
                </c:pt>
                <c:pt idx="45">
                  <c:v>324</c:v>
                </c:pt>
                <c:pt idx="46">
                  <c:v>328</c:v>
                </c:pt>
                <c:pt idx="47">
                  <c:v>329</c:v>
                </c:pt>
                <c:pt idx="48">
                  <c:v>341</c:v>
                </c:pt>
                <c:pt idx="49">
                  <c:v>343</c:v>
                </c:pt>
                <c:pt idx="50">
                  <c:v>355</c:v>
                </c:pt>
                <c:pt idx="51">
                  <c:v>357</c:v>
                </c:pt>
                <c:pt idx="52">
                  <c:v>383</c:v>
                </c:pt>
                <c:pt idx="53">
                  <c:v>385</c:v>
                </c:pt>
                <c:pt idx="54">
                  <c:v>386</c:v>
                </c:pt>
                <c:pt idx="55">
                  <c:v>388</c:v>
                </c:pt>
                <c:pt idx="56">
                  <c:v>397</c:v>
                </c:pt>
                <c:pt idx="57">
                  <c:v>429</c:v>
                </c:pt>
                <c:pt idx="58">
                  <c:v>433</c:v>
                </c:pt>
                <c:pt idx="59">
                  <c:v>436</c:v>
                </c:pt>
                <c:pt idx="60">
                  <c:v>445</c:v>
                </c:pt>
                <c:pt idx="61">
                  <c:v>461</c:v>
                </c:pt>
                <c:pt idx="62">
                  <c:v>471</c:v>
                </c:pt>
                <c:pt idx="63">
                  <c:v>476</c:v>
                </c:pt>
                <c:pt idx="64">
                  <c:v>487</c:v>
                </c:pt>
                <c:pt idx="65">
                  <c:v>535</c:v>
                </c:pt>
                <c:pt idx="66">
                  <c:v>561</c:v>
                </c:pt>
                <c:pt idx="67" formatCode="General">
                  <c:v>600</c:v>
                </c:pt>
              </c:numCache>
            </c:numRef>
          </c:xVal>
          <c:yVal>
            <c:numRef>
              <c:f>'Bypass Funnel'!$C$2:$C$69</c:f>
              <c:numCache>
                <c:formatCode>0.00%</c:formatCode>
                <c:ptCount val="68"/>
                <c:pt idx="0">
                  <c:v>0.5</c:v>
                </c:pt>
                <c:pt idx="1">
                  <c:v>0.31597340106964111</c:v>
                </c:pt>
                <c:pt idx="2">
                  <c:v>0.23678825795650482</c:v>
                </c:pt>
                <c:pt idx="3">
                  <c:v>0.14046086370944977</c:v>
                </c:pt>
                <c:pt idx="4">
                  <c:v>0.11043610423803329</c:v>
                </c:pt>
                <c:pt idx="5">
                  <c:v>0.10932278633117676</c:v>
                </c:pt>
                <c:pt idx="6">
                  <c:v>0.10854385793209076</c:v>
                </c:pt>
                <c:pt idx="7">
                  <c:v>0.10264402627944946</c:v>
                </c:pt>
                <c:pt idx="8">
                  <c:v>9.7822166979312897E-2</c:v>
                </c:pt>
                <c:pt idx="9">
                  <c:v>9.713466465473175E-2</c:v>
                </c:pt>
                <c:pt idx="10">
                  <c:v>9.0953163802623749E-2</c:v>
                </c:pt>
                <c:pt idx="11">
                  <c:v>8.8539838790893555E-2</c:v>
                </c:pt>
                <c:pt idx="12">
                  <c:v>8.8159613311290741E-2</c:v>
                </c:pt>
                <c:pt idx="13">
                  <c:v>8.6941525340080261E-2</c:v>
                </c:pt>
                <c:pt idx="14">
                  <c:v>8.5641875863075256E-2</c:v>
                </c:pt>
                <c:pt idx="15">
                  <c:v>8.3075724542140961E-2</c:v>
                </c:pt>
                <c:pt idx="16">
                  <c:v>8.2778967916965485E-2</c:v>
                </c:pt>
                <c:pt idx="17">
                  <c:v>8.2152724266052246E-2</c:v>
                </c:pt>
                <c:pt idx="18">
                  <c:v>8.1149816513061523E-2</c:v>
                </c:pt>
                <c:pt idx="19">
                  <c:v>8.0450572073459625E-2</c:v>
                </c:pt>
                <c:pt idx="20">
                  <c:v>7.7554367482662201E-2</c:v>
                </c:pt>
                <c:pt idx="21">
                  <c:v>7.63072669506073E-2</c:v>
                </c:pt>
                <c:pt idx="22">
                  <c:v>7.6242201030254364E-2</c:v>
                </c:pt>
                <c:pt idx="23">
                  <c:v>7.5157731771469116E-2</c:v>
                </c:pt>
                <c:pt idx="24">
                  <c:v>7.3919534683227539E-2</c:v>
                </c:pt>
                <c:pt idx="25">
                  <c:v>7.3691844940185547E-2</c:v>
                </c:pt>
                <c:pt idx="26">
                  <c:v>7.3088280856609344E-2</c:v>
                </c:pt>
                <c:pt idx="27">
                  <c:v>7.294919341802597E-2</c:v>
                </c:pt>
                <c:pt idx="28">
                  <c:v>7.2781726717948914E-2</c:v>
                </c:pt>
                <c:pt idx="29">
                  <c:v>7.2678960859775543E-2</c:v>
                </c:pt>
                <c:pt idx="30">
                  <c:v>7.1852840483188629E-2</c:v>
                </c:pt>
                <c:pt idx="31">
                  <c:v>6.9753028452396393E-2</c:v>
                </c:pt>
                <c:pt idx="32">
                  <c:v>6.9520533084869385E-2</c:v>
                </c:pt>
                <c:pt idx="33">
                  <c:v>6.9393590092658997E-2</c:v>
                </c:pt>
                <c:pt idx="34">
                  <c:v>6.8976163864135742E-2</c:v>
                </c:pt>
                <c:pt idx="35">
                  <c:v>6.7277900874614716E-2</c:v>
                </c:pt>
                <c:pt idx="36">
                  <c:v>6.6697165369987488E-2</c:v>
                </c:pt>
                <c:pt idx="37">
                  <c:v>6.6008634865283966E-2</c:v>
                </c:pt>
                <c:pt idx="38">
                  <c:v>6.5810434520244598E-2</c:v>
                </c:pt>
                <c:pt idx="39">
                  <c:v>6.5725520253181458E-2</c:v>
                </c:pt>
                <c:pt idx="40">
                  <c:v>6.567961722612381E-2</c:v>
                </c:pt>
                <c:pt idx="41">
                  <c:v>6.4022965729236603E-2</c:v>
                </c:pt>
                <c:pt idx="42">
                  <c:v>6.3900679349899292E-2</c:v>
                </c:pt>
                <c:pt idx="43">
                  <c:v>6.3337795436382294E-2</c:v>
                </c:pt>
                <c:pt idx="44">
                  <c:v>6.2314022332429886E-2</c:v>
                </c:pt>
                <c:pt idx="45">
                  <c:v>6.1321355402469635E-2</c:v>
                </c:pt>
                <c:pt idx="46">
                  <c:v>6.0933839529752731E-2</c:v>
                </c:pt>
                <c:pt idx="47">
                  <c:v>6.0883652418851852E-2</c:v>
                </c:pt>
                <c:pt idx="48">
                  <c:v>6.0470931231975555E-2</c:v>
                </c:pt>
                <c:pt idx="49">
                  <c:v>6.0341019183397293E-2</c:v>
                </c:pt>
                <c:pt idx="50">
                  <c:v>5.9556767344474792E-2</c:v>
                </c:pt>
                <c:pt idx="51">
                  <c:v>5.9522591531276703E-2</c:v>
                </c:pt>
                <c:pt idx="52">
                  <c:v>5.8298926800489426E-2</c:v>
                </c:pt>
                <c:pt idx="53">
                  <c:v>5.8237779885530472E-2</c:v>
                </c:pt>
                <c:pt idx="54">
                  <c:v>5.8201655745506287E-2</c:v>
                </c:pt>
                <c:pt idx="55">
                  <c:v>5.8119192719459534E-2</c:v>
                </c:pt>
                <c:pt idx="56">
                  <c:v>5.7609833776950836E-2</c:v>
                </c:pt>
                <c:pt idx="57">
                  <c:v>5.6294471025466919E-2</c:v>
                </c:pt>
                <c:pt idx="58">
                  <c:v>5.6228376924991608E-2</c:v>
                </c:pt>
                <c:pt idx="59">
                  <c:v>5.6144945323467255E-2</c:v>
                </c:pt>
                <c:pt idx="60">
                  <c:v>5.5758088827133179E-2</c:v>
                </c:pt>
                <c:pt idx="61">
                  <c:v>5.5252589285373688E-2</c:v>
                </c:pt>
                <c:pt idx="62">
                  <c:v>5.4853953421115875E-2</c:v>
                </c:pt>
                <c:pt idx="63">
                  <c:v>5.4589129984378815E-2</c:v>
                </c:pt>
                <c:pt idx="64">
                  <c:v>5.4407458752393723E-2</c:v>
                </c:pt>
                <c:pt idx="65">
                  <c:v>5.2999574691057205E-2</c:v>
                </c:pt>
                <c:pt idx="66">
                  <c:v>5.2331265062093735E-2</c:v>
                </c:pt>
                <c:pt idx="67">
                  <c:v>5.1386000000000001E-2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F-4104-BBA1-A6FFBC42C836}"/>
            </c:ext>
          </c:extLst>
        </c:ser>
        <c:ser>
          <c:idx val="3"/>
          <c:order val="3"/>
          <c:tx>
            <c:strRef>
              <c:f>'Bypass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'Bypass Summary'!$E$4</c:f>
              <c:numCache>
                <c:formatCode>General</c:formatCode>
                <c:ptCount val="1"/>
                <c:pt idx="0">
                  <c:v>198</c:v>
                </c:pt>
              </c:numCache>
            </c:numRef>
          </c:xVal>
          <c:yVal>
            <c:numRef>
              <c:f>'Bypass Summary'!$G$4</c:f>
              <c:numCache>
                <c:formatCode>0.0%</c:formatCode>
                <c:ptCount val="1"/>
                <c:pt idx="0">
                  <c:v>3.2000000000000001E-2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F-4104-BBA1-A6FFBC42C836}"/>
            </c:ext>
          </c:extLst>
        </c:ser>
        <c:ser>
          <c:idx val="4"/>
          <c:order val="4"/>
          <c:tx>
            <c:v>Lower Funnel Limits</c:v>
          </c:tx>
          <c:spPr>
            <a:ln w="2222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'Bypass Funnel'!$B$2:$B$69</c:f>
              <c:numCache>
                <c:formatCode>0</c:formatCode>
                <c:ptCount val="68"/>
                <c:pt idx="0" formatCode="General">
                  <c:v>0</c:v>
                </c:pt>
                <c:pt idx="1">
                  <c:v>12</c:v>
                </c:pt>
                <c:pt idx="2">
                  <c:v>18</c:v>
                </c:pt>
                <c:pt idx="3">
                  <c:v>46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86</c:v>
                </c:pt>
                <c:pt idx="8">
                  <c:v>96</c:v>
                </c:pt>
                <c:pt idx="9">
                  <c:v>98</c:v>
                </c:pt>
                <c:pt idx="10">
                  <c:v>110</c:v>
                </c:pt>
                <c:pt idx="11">
                  <c:v>121</c:v>
                </c:pt>
                <c:pt idx="12">
                  <c:v>122</c:v>
                </c:pt>
                <c:pt idx="13">
                  <c:v>125</c:v>
                </c:pt>
                <c:pt idx="14">
                  <c:v>128</c:v>
                </c:pt>
                <c:pt idx="15">
                  <c:v>141</c:v>
                </c:pt>
                <c:pt idx="16">
                  <c:v>142</c:v>
                </c:pt>
                <c:pt idx="17">
                  <c:v>144</c:v>
                </c:pt>
                <c:pt idx="18">
                  <c:v>148</c:v>
                </c:pt>
                <c:pt idx="19">
                  <c:v>149</c:v>
                </c:pt>
                <c:pt idx="20">
                  <c:v>166</c:v>
                </c:pt>
                <c:pt idx="21">
                  <c:v>173</c:v>
                </c:pt>
                <c:pt idx="22">
                  <c:v>174</c:v>
                </c:pt>
                <c:pt idx="23">
                  <c:v>182</c:v>
                </c:pt>
                <c:pt idx="24">
                  <c:v>188</c:v>
                </c:pt>
                <c:pt idx="25">
                  <c:v>189</c:v>
                </c:pt>
                <c:pt idx="26">
                  <c:v>193</c:v>
                </c:pt>
                <c:pt idx="27">
                  <c:v>196</c:v>
                </c:pt>
                <c:pt idx="28">
                  <c:v>198</c:v>
                </c:pt>
                <c:pt idx="29">
                  <c:v>199</c:v>
                </c:pt>
                <c:pt idx="30">
                  <c:v>205</c:v>
                </c:pt>
                <c:pt idx="31">
                  <c:v>223</c:v>
                </c:pt>
                <c:pt idx="32">
                  <c:v>225</c:v>
                </c:pt>
                <c:pt idx="33">
                  <c:v>226</c:v>
                </c:pt>
                <c:pt idx="34">
                  <c:v>229</c:v>
                </c:pt>
                <c:pt idx="35">
                  <c:v>247</c:v>
                </c:pt>
                <c:pt idx="36">
                  <c:v>252</c:v>
                </c:pt>
                <c:pt idx="37">
                  <c:v>257</c:v>
                </c:pt>
                <c:pt idx="38">
                  <c:v>260</c:v>
                </c:pt>
                <c:pt idx="39">
                  <c:v>263</c:v>
                </c:pt>
                <c:pt idx="40">
                  <c:v>264</c:v>
                </c:pt>
                <c:pt idx="41">
                  <c:v>281</c:v>
                </c:pt>
                <c:pt idx="42">
                  <c:v>286</c:v>
                </c:pt>
                <c:pt idx="43">
                  <c:v>295</c:v>
                </c:pt>
                <c:pt idx="44">
                  <c:v>308</c:v>
                </c:pt>
                <c:pt idx="45">
                  <c:v>324</c:v>
                </c:pt>
                <c:pt idx="46">
                  <c:v>328</c:v>
                </c:pt>
                <c:pt idx="47">
                  <c:v>329</c:v>
                </c:pt>
                <c:pt idx="48">
                  <c:v>341</c:v>
                </c:pt>
                <c:pt idx="49">
                  <c:v>343</c:v>
                </c:pt>
                <c:pt idx="50">
                  <c:v>355</c:v>
                </c:pt>
                <c:pt idx="51">
                  <c:v>357</c:v>
                </c:pt>
                <c:pt idx="52">
                  <c:v>383</c:v>
                </c:pt>
                <c:pt idx="53">
                  <c:v>385</c:v>
                </c:pt>
                <c:pt idx="54">
                  <c:v>386</c:v>
                </c:pt>
                <c:pt idx="55">
                  <c:v>388</c:v>
                </c:pt>
                <c:pt idx="56">
                  <c:v>397</c:v>
                </c:pt>
                <c:pt idx="57">
                  <c:v>429</c:v>
                </c:pt>
                <c:pt idx="58">
                  <c:v>433</c:v>
                </c:pt>
                <c:pt idx="59">
                  <c:v>436</c:v>
                </c:pt>
                <c:pt idx="60">
                  <c:v>445</c:v>
                </c:pt>
                <c:pt idx="61">
                  <c:v>461</c:v>
                </c:pt>
                <c:pt idx="62">
                  <c:v>471</c:v>
                </c:pt>
                <c:pt idx="63">
                  <c:v>476</c:v>
                </c:pt>
                <c:pt idx="64">
                  <c:v>487</c:v>
                </c:pt>
                <c:pt idx="65">
                  <c:v>535</c:v>
                </c:pt>
                <c:pt idx="66">
                  <c:v>561</c:v>
                </c:pt>
                <c:pt idx="67" formatCode="General">
                  <c:v>600</c:v>
                </c:pt>
              </c:numCache>
            </c:numRef>
          </c:xVal>
          <c:yVal>
            <c:numRef>
              <c:f>'Bypass Funnel'!$E$2:$E$69</c:f>
              <c:numCache>
                <c:formatCode>0.00%</c:formatCode>
                <c:ptCount val="68"/>
                <c:pt idx="36">
                  <c:v>1.0284828749718145E-4</c:v>
                </c:pt>
                <c:pt idx="37">
                  <c:v>1.9393472757656127E-4</c:v>
                </c:pt>
                <c:pt idx="38">
                  <c:v>2.5179935619235039E-4</c:v>
                </c:pt>
                <c:pt idx="39">
                  <c:v>3.1234262860380113E-4</c:v>
                </c:pt>
                <c:pt idx="40">
                  <c:v>3.3315949258394539E-4</c:v>
                </c:pt>
                <c:pt idx="41">
                  <c:v>7.4615509947761893E-4</c:v>
                </c:pt>
                <c:pt idx="42">
                  <c:v>8.9361431309953332E-4</c:v>
                </c:pt>
                <c:pt idx="43">
                  <c:v>1.1975234374403954E-3</c:v>
                </c:pt>
                <c:pt idx="44">
                  <c:v>1.7458378570154309E-3</c:v>
                </c:pt>
                <c:pt idx="45">
                  <c:v>2.6625820901244879E-3</c:v>
                </c:pt>
                <c:pt idx="46">
                  <c:v>2.945770276710391E-3</c:v>
                </c:pt>
                <c:pt idx="47">
                  <c:v>3.0205354560166597E-3</c:v>
                </c:pt>
                <c:pt idx="48">
                  <c:v>3.1653000041842461E-3</c:v>
                </c:pt>
                <c:pt idx="49">
                  <c:v>3.1917968299239874E-3</c:v>
                </c:pt>
                <c:pt idx="50">
                  <c:v>3.3856546506285667E-3</c:v>
                </c:pt>
                <c:pt idx="51">
                  <c:v>3.4244621638208628E-3</c:v>
                </c:pt>
                <c:pt idx="52">
                  <c:v>4.15452616289258E-3</c:v>
                </c:pt>
                <c:pt idx="53">
                  <c:v>4.2321570217609406E-3</c:v>
                </c:pt>
                <c:pt idx="54">
                  <c:v>4.2723757214844227E-3</c:v>
                </c:pt>
                <c:pt idx="55">
                  <c:v>4.355723038315773E-3</c:v>
                </c:pt>
                <c:pt idx="56">
                  <c:v>4.78321872651577E-3</c:v>
                </c:pt>
                <c:pt idx="57">
                  <c:v>5.3055365569889545E-3</c:v>
                </c:pt>
                <c:pt idx="58">
                  <c:v>5.3790234960615635E-3</c:v>
                </c:pt>
                <c:pt idx="59">
                  <c:v>5.4399818181991577E-3</c:v>
                </c:pt>
                <c:pt idx="60">
                  <c:v>5.656274501234293E-3</c:v>
                </c:pt>
                <c:pt idx="61">
                  <c:v>6.1905882321298122E-3</c:v>
                </c:pt>
                <c:pt idx="62">
                  <c:v>6.4529902301728725E-3</c:v>
                </c:pt>
                <c:pt idx="63">
                  <c:v>6.4859637059271336E-3</c:v>
                </c:pt>
                <c:pt idx="64">
                  <c:v>6.5904245711863041E-3</c:v>
                </c:pt>
                <c:pt idx="65">
                  <c:v>7.5929705053567886E-3</c:v>
                </c:pt>
                <c:pt idx="66">
                  <c:v>7.8539475798606873E-3</c:v>
                </c:pt>
                <c:pt idx="67">
                  <c:v>8.5500000000000003E-3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F-4DF7-B07A-EA317F3C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Summary'!$F$2</c:f>
          <c:strCache>
            <c:ptCount val="1"/>
            <c:pt idx="0">
              <c:v>Median (IQR delay from vascular assessment to ampuation (days) for non-elective admissions 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'Amputation Summary'!$F$2</c:f>
              <c:strCache>
                <c:ptCount val="1"/>
                <c:pt idx="0">
                  <c:v>Median (IQR delay from vascular assessment to ampuation (days) for non-elective admissions  2021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'Major Lower Limb Amputation'!$AI$8:$AI$76</c:f>
                <c:numCache>
                  <c:formatCode>General</c:formatCode>
                  <c:ptCount val="69"/>
                  <c:pt idx="0">
                    <c:v>3</c:v>
                  </c:pt>
                  <c:pt idx="1">
                    <c:v>56</c:v>
                  </c:pt>
                  <c:pt idx="2">
                    <c:v>6</c:v>
                  </c:pt>
                  <c:pt idx="3">
                    <c:v>6</c:v>
                  </c:pt>
                  <c:pt idx="4">
                    <c:v>19</c:v>
                  </c:pt>
                  <c:pt idx="5">
                    <c:v>13</c:v>
                  </c:pt>
                  <c:pt idx="6">
                    <c:v>31</c:v>
                  </c:pt>
                  <c:pt idx="7">
                    <c:v>4</c:v>
                  </c:pt>
                  <c:pt idx="8">
                    <c:v>17</c:v>
                  </c:pt>
                  <c:pt idx="9">
                    <c:v>8</c:v>
                  </c:pt>
                  <c:pt idx="10">
                    <c:v>44</c:v>
                  </c:pt>
                  <c:pt idx="11">
                    <c:v>57</c:v>
                  </c:pt>
                  <c:pt idx="12">
                    <c:v>4</c:v>
                  </c:pt>
                  <c:pt idx="13">
                    <c:v>13</c:v>
                  </c:pt>
                  <c:pt idx="14">
                    <c:v>15</c:v>
                  </c:pt>
                  <c:pt idx="15">
                    <c:v>8</c:v>
                  </c:pt>
                  <c:pt idx="16">
                    <c:v>11</c:v>
                  </c:pt>
                  <c:pt idx="17">
                    <c:v>11</c:v>
                  </c:pt>
                  <c:pt idx="18">
                    <c:v>35</c:v>
                  </c:pt>
                  <c:pt idx="19">
                    <c:v>16</c:v>
                  </c:pt>
                  <c:pt idx="20">
                    <c:v>10</c:v>
                  </c:pt>
                  <c:pt idx="21">
                    <c:v>4</c:v>
                  </c:pt>
                  <c:pt idx="22">
                    <c:v>7</c:v>
                  </c:pt>
                  <c:pt idx="23">
                    <c:v>8</c:v>
                  </c:pt>
                  <c:pt idx="24">
                    <c:v>18</c:v>
                  </c:pt>
                  <c:pt idx="25">
                    <c:v>6</c:v>
                  </c:pt>
                  <c:pt idx="26">
                    <c:v>0</c:v>
                  </c:pt>
                  <c:pt idx="27">
                    <c:v>5</c:v>
                  </c:pt>
                  <c:pt idx="28">
                    <c:v>14</c:v>
                  </c:pt>
                  <c:pt idx="29">
                    <c:v>1</c:v>
                  </c:pt>
                  <c:pt idx="30">
                    <c:v>8</c:v>
                  </c:pt>
                  <c:pt idx="31">
                    <c:v>0</c:v>
                  </c:pt>
                  <c:pt idx="32">
                    <c:v>7</c:v>
                  </c:pt>
                  <c:pt idx="33">
                    <c:v>33</c:v>
                  </c:pt>
                  <c:pt idx="34">
                    <c:v>21</c:v>
                  </c:pt>
                  <c:pt idx="35">
                    <c:v>17</c:v>
                  </c:pt>
                  <c:pt idx="36">
                    <c:v>27</c:v>
                  </c:pt>
                  <c:pt idx="37">
                    <c:v>10</c:v>
                  </c:pt>
                  <c:pt idx="38">
                    <c:v>2</c:v>
                  </c:pt>
                  <c:pt idx="39">
                    <c:v>6</c:v>
                  </c:pt>
                  <c:pt idx="40">
                    <c:v>5</c:v>
                  </c:pt>
                  <c:pt idx="41">
                    <c:v>11</c:v>
                  </c:pt>
                  <c:pt idx="42">
                    <c:v>11</c:v>
                  </c:pt>
                  <c:pt idx="43">
                    <c:v>0</c:v>
                  </c:pt>
                  <c:pt idx="44">
                    <c:v>3</c:v>
                  </c:pt>
                  <c:pt idx="45">
                    <c:v>3</c:v>
                  </c:pt>
                  <c:pt idx="46">
                    <c:v>13</c:v>
                  </c:pt>
                  <c:pt idx="47">
                    <c:v>6</c:v>
                  </c:pt>
                  <c:pt idx="48">
                    <c:v>6</c:v>
                  </c:pt>
                  <c:pt idx="49">
                    <c:v>5</c:v>
                  </c:pt>
                  <c:pt idx="50">
                    <c:v>12</c:v>
                  </c:pt>
                  <c:pt idx="51">
                    <c:v>7</c:v>
                  </c:pt>
                  <c:pt idx="52">
                    <c:v>6</c:v>
                  </c:pt>
                  <c:pt idx="53">
                    <c:v>20</c:v>
                  </c:pt>
                  <c:pt idx="54">
                    <c:v>6</c:v>
                  </c:pt>
                  <c:pt idx="55">
                    <c:v>0</c:v>
                  </c:pt>
                  <c:pt idx="56">
                    <c:v>8</c:v>
                  </c:pt>
                  <c:pt idx="57">
                    <c:v>41</c:v>
                  </c:pt>
                  <c:pt idx="58">
                    <c:v>6</c:v>
                  </c:pt>
                  <c:pt idx="59">
                    <c:v>13</c:v>
                  </c:pt>
                  <c:pt idx="60">
                    <c:v>5</c:v>
                  </c:pt>
                  <c:pt idx="61">
                    <c:v>25</c:v>
                  </c:pt>
                  <c:pt idx="62">
                    <c:v>7</c:v>
                  </c:pt>
                  <c:pt idx="63">
                    <c:v>2</c:v>
                  </c:pt>
                  <c:pt idx="64">
                    <c:v>10</c:v>
                  </c:pt>
                  <c:pt idx="65">
                    <c:v>12</c:v>
                  </c:pt>
                  <c:pt idx="66">
                    <c:v>20</c:v>
                  </c:pt>
                  <c:pt idx="67">
                    <c:v>4</c:v>
                  </c:pt>
                  <c:pt idx="68">
                    <c:v>30</c:v>
                  </c:pt>
                </c:numCache>
              </c:numRef>
            </c:plus>
            <c:minus>
              <c:numRef>
                <c:f>'Major Lower Limb Amputation'!$AH$8:$AH$76</c:f>
                <c:numCache>
                  <c:formatCode>General</c:formatCode>
                  <c:ptCount val="69"/>
                  <c:pt idx="0">
                    <c:v>3</c:v>
                  </c:pt>
                  <c:pt idx="1">
                    <c:v>5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10</c:v>
                  </c:pt>
                  <c:pt idx="6">
                    <c:v>5</c:v>
                  </c:pt>
                  <c:pt idx="7">
                    <c:v>2</c:v>
                  </c:pt>
                  <c:pt idx="8">
                    <c:v>7</c:v>
                  </c:pt>
                  <c:pt idx="9">
                    <c:v>2</c:v>
                  </c:pt>
                  <c:pt idx="10">
                    <c:v>2</c:v>
                  </c:pt>
                  <c:pt idx="11">
                    <c:v>28</c:v>
                  </c:pt>
                  <c:pt idx="12">
                    <c:v>6</c:v>
                  </c:pt>
                  <c:pt idx="13">
                    <c:v>0</c:v>
                  </c:pt>
                  <c:pt idx="14">
                    <c:v>5</c:v>
                  </c:pt>
                  <c:pt idx="15">
                    <c:v>3</c:v>
                  </c:pt>
                  <c:pt idx="16">
                    <c:v>2</c:v>
                  </c:pt>
                  <c:pt idx="17">
                    <c:v>10</c:v>
                  </c:pt>
                  <c:pt idx="18">
                    <c:v>8</c:v>
                  </c:pt>
                  <c:pt idx="19">
                    <c:v>6</c:v>
                  </c:pt>
                  <c:pt idx="20">
                    <c:v>2</c:v>
                  </c:pt>
                  <c:pt idx="21">
                    <c:v>3</c:v>
                  </c:pt>
                  <c:pt idx="22">
                    <c:v>3</c:v>
                  </c:pt>
                  <c:pt idx="23">
                    <c:v>3</c:v>
                  </c:pt>
                  <c:pt idx="24">
                    <c:v>6</c:v>
                  </c:pt>
                  <c:pt idx="25">
                    <c:v>2</c:v>
                  </c:pt>
                  <c:pt idx="26">
                    <c:v>4</c:v>
                  </c:pt>
                  <c:pt idx="27">
                    <c:v>2</c:v>
                  </c:pt>
                  <c:pt idx="28">
                    <c:v>4</c:v>
                  </c:pt>
                  <c:pt idx="29">
                    <c:v>2</c:v>
                  </c:pt>
                  <c:pt idx="30">
                    <c:v>8</c:v>
                  </c:pt>
                  <c:pt idx="31">
                    <c:v>0</c:v>
                  </c:pt>
                  <c:pt idx="32">
                    <c:v>2</c:v>
                  </c:pt>
                  <c:pt idx="33">
                    <c:v>4</c:v>
                  </c:pt>
                  <c:pt idx="34">
                    <c:v>5</c:v>
                  </c:pt>
                  <c:pt idx="35">
                    <c:v>5</c:v>
                  </c:pt>
                  <c:pt idx="36">
                    <c:v>6</c:v>
                  </c:pt>
                  <c:pt idx="37">
                    <c:v>2</c:v>
                  </c:pt>
                  <c:pt idx="38">
                    <c:v>4</c:v>
                  </c:pt>
                  <c:pt idx="39">
                    <c:v>2</c:v>
                  </c:pt>
                  <c:pt idx="40">
                    <c:v>1</c:v>
                  </c:pt>
                  <c:pt idx="41">
                    <c:v>3</c:v>
                  </c:pt>
                  <c:pt idx="42">
                    <c:v>5</c:v>
                  </c:pt>
                  <c:pt idx="43">
                    <c:v>0</c:v>
                  </c:pt>
                  <c:pt idx="44">
                    <c:v>2</c:v>
                  </c:pt>
                  <c:pt idx="45">
                    <c:v>5</c:v>
                  </c:pt>
                  <c:pt idx="46">
                    <c:v>0</c:v>
                  </c:pt>
                  <c:pt idx="47">
                    <c:v>10</c:v>
                  </c:pt>
                  <c:pt idx="48">
                    <c:v>2</c:v>
                  </c:pt>
                  <c:pt idx="49">
                    <c:v>2</c:v>
                  </c:pt>
                  <c:pt idx="50">
                    <c:v>2</c:v>
                  </c:pt>
                  <c:pt idx="51">
                    <c:v>4</c:v>
                  </c:pt>
                  <c:pt idx="52">
                    <c:v>4</c:v>
                  </c:pt>
                  <c:pt idx="53">
                    <c:v>6</c:v>
                  </c:pt>
                  <c:pt idx="54">
                    <c:v>2</c:v>
                  </c:pt>
                  <c:pt idx="55">
                    <c:v>0</c:v>
                  </c:pt>
                  <c:pt idx="56">
                    <c:v>5</c:v>
                  </c:pt>
                  <c:pt idx="57">
                    <c:v>8</c:v>
                  </c:pt>
                  <c:pt idx="58">
                    <c:v>3</c:v>
                  </c:pt>
                  <c:pt idx="59">
                    <c:v>6</c:v>
                  </c:pt>
                  <c:pt idx="60">
                    <c:v>1</c:v>
                  </c:pt>
                  <c:pt idx="61">
                    <c:v>5</c:v>
                  </c:pt>
                  <c:pt idx="62">
                    <c:v>3</c:v>
                  </c:pt>
                  <c:pt idx="63">
                    <c:v>1</c:v>
                  </c:pt>
                  <c:pt idx="64">
                    <c:v>6</c:v>
                  </c:pt>
                  <c:pt idx="65">
                    <c:v>4</c:v>
                  </c:pt>
                  <c:pt idx="66">
                    <c:v>11</c:v>
                  </c:pt>
                  <c:pt idx="67">
                    <c:v>2</c:v>
                  </c:pt>
                  <c:pt idx="68">
                    <c:v>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'Major Lower Limb Amputation'!$AF$8:$AF$76</c:f>
              <c:numCache>
                <c:formatCode>General</c:formatCode>
                <c:ptCount val="69"/>
                <c:pt idx="0">
                  <c:v>42</c:v>
                </c:pt>
                <c:pt idx="1">
                  <c:v>53</c:v>
                </c:pt>
                <c:pt idx="2">
                  <c:v>27</c:v>
                </c:pt>
                <c:pt idx="3">
                  <c:v>24</c:v>
                </c:pt>
                <c:pt idx="4">
                  <c:v>40</c:v>
                </c:pt>
                <c:pt idx="5">
                  <c:v>63</c:v>
                </c:pt>
                <c:pt idx="6">
                  <c:v>52</c:v>
                </c:pt>
                <c:pt idx="7">
                  <c:v>20</c:v>
                </c:pt>
                <c:pt idx="8">
                  <c:v>55</c:v>
                </c:pt>
                <c:pt idx="9">
                  <c:v>13</c:v>
                </c:pt>
                <c:pt idx="10">
                  <c:v>36</c:v>
                </c:pt>
                <c:pt idx="11">
                  <c:v>66</c:v>
                </c:pt>
                <c:pt idx="12">
                  <c:v>45</c:v>
                </c:pt>
                <c:pt idx="13">
                  <c:v>1</c:v>
                </c:pt>
                <c:pt idx="14">
                  <c:v>32</c:v>
                </c:pt>
                <c:pt idx="15">
                  <c:v>28</c:v>
                </c:pt>
                <c:pt idx="16">
                  <c:v>14</c:v>
                </c:pt>
                <c:pt idx="17">
                  <c:v>64</c:v>
                </c:pt>
                <c:pt idx="18">
                  <c:v>60</c:v>
                </c:pt>
                <c:pt idx="19">
                  <c:v>47</c:v>
                </c:pt>
                <c:pt idx="20">
                  <c:v>30</c:v>
                </c:pt>
                <c:pt idx="21">
                  <c:v>26</c:v>
                </c:pt>
                <c:pt idx="22">
                  <c:v>35</c:v>
                </c:pt>
                <c:pt idx="23">
                  <c:v>29</c:v>
                </c:pt>
                <c:pt idx="24">
                  <c:v>48</c:v>
                </c:pt>
                <c:pt idx="25">
                  <c:v>21</c:v>
                </c:pt>
                <c:pt idx="26">
                  <c:v>15</c:v>
                </c:pt>
                <c:pt idx="27">
                  <c:v>5</c:v>
                </c:pt>
                <c:pt idx="28">
                  <c:v>25</c:v>
                </c:pt>
                <c:pt idx="29">
                  <c:v>57</c:v>
                </c:pt>
                <c:pt idx="30">
                  <c:v>65</c:v>
                </c:pt>
                <c:pt idx="31">
                  <c:v>67</c:v>
                </c:pt>
                <c:pt idx="32">
                  <c:v>8</c:v>
                </c:pt>
                <c:pt idx="33">
                  <c:v>41</c:v>
                </c:pt>
                <c:pt idx="34">
                  <c:v>59</c:v>
                </c:pt>
                <c:pt idx="35">
                  <c:v>56</c:v>
                </c:pt>
                <c:pt idx="36">
                  <c:v>49</c:v>
                </c:pt>
                <c:pt idx="37">
                  <c:v>22</c:v>
                </c:pt>
                <c:pt idx="38">
                  <c:v>16</c:v>
                </c:pt>
                <c:pt idx="39">
                  <c:v>12</c:v>
                </c:pt>
                <c:pt idx="40">
                  <c:v>2</c:v>
                </c:pt>
                <c:pt idx="41">
                  <c:v>43</c:v>
                </c:pt>
                <c:pt idx="42">
                  <c:v>50</c:v>
                </c:pt>
                <c:pt idx="43">
                  <c:v>68</c:v>
                </c:pt>
                <c:pt idx="44">
                  <c:v>19</c:v>
                </c:pt>
                <c:pt idx="45">
                  <c:v>31</c:v>
                </c:pt>
                <c:pt idx="46">
                  <c:v>4</c:v>
                </c:pt>
                <c:pt idx="47">
                  <c:v>62</c:v>
                </c:pt>
                <c:pt idx="48">
                  <c:v>6</c:v>
                </c:pt>
                <c:pt idx="49">
                  <c:v>44</c:v>
                </c:pt>
                <c:pt idx="50">
                  <c:v>23</c:v>
                </c:pt>
                <c:pt idx="51">
                  <c:v>34</c:v>
                </c:pt>
                <c:pt idx="52">
                  <c:v>33</c:v>
                </c:pt>
                <c:pt idx="53">
                  <c:v>51</c:v>
                </c:pt>
                <c:pt idx="54">
                  <c:v>7</c:v>
                </c:pt>
                <c:pt idx="55">
                  <c:v>69</c:v>
                </c:pt>
                <c:pt idx="56">
                  <c:v>38</c:v>
                </c:pt>
                <c:pt idx="57">
                  <c:v>58</c:v>
                </c:pt>
                <c:pt idx="58">
                  <c:v>17</c:v>
                </c:pt>
                <c:pt idx="59">
                  <c:v>46</c:v>
                </c:pt>
                <c:pt idx="60">
                  <c:v>3</c:v>
                </c:pt>
                <c:pt idx="61">
                  <c:v>39</c:v>
                </c:pt>
                <c:pt idx="62">
                  <c:v>18</c:v>
                </c:pt>
                <c:pt idx="63">
                  <c:v>9</c:v>
                </c:pt>
                <c:pt idx="64">
                  <c:v>37</c:v>
                </c:pt>
                <c:pt idx="65">
                  <c:v>54</c:v>
                </c:pt>
                <c:pt idx="66">
                  <c:v>61</c:v>
                </c:pt>
                <c:pt idx="67">
                  <c:v>11</c:v>
                </c:pt>
                <c:pt idx="68">
                  <c:v>10</c:v>
                </c:pt>
              </c:numCache>
            </c:numRef>
          </c:xVal>
          <c:yVal>
            <c:numRef>
              <c:f>'Major Lower Limb Amputation'!$AG$8:$AG$76</c:f>
              <c:numCache>
                <c:formatCode>General</c:formatCode>
                <c:ptCount val="69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10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45</c:v>
                </c:pt>
                <c:pt idx="12">
                  <c:v>9</c:v>
                </c:pt>
                <c:pt idx="13">
                  <c:v>1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16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9</c:v>
                </c:pt>
                <c:pt idx="25">
                  <c:v>5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11</c:v>
                </c:pt>
                <c:pt idx="30">
                  <c:v>21</c:v>
                </c:pt>
                <c:pt idx="31">
                  <c:v>0</c:v>
                </c:pt>
                <c:pt idx="32">
                  <c:v>3</c:v>
                </c:pt>
                <c:pt idx="33">
                  <c:v>8</c:v>
                </c:pt>
                <c:pt idx="34">
                  <c:v>12</c:v>
                </c:pt>
                <c:pt idx="35">
                  <c:v>11</c:v>
                </c:pt>
                <c:pt idx="36">
                  <c:v>9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2</c:v>
                </c:pt>
                <c:pt idx="41">
                  <c:v>8</c:v>
                </c:pt>
                <c:pt idx="42">
                  <c:v>9</c:v>
                </c:pt>
                <c:pt idx="43">
                  <c:v>0</c:v>
                </c:pt>
                <c:pt idx="44">
                  <c:v>5</c:v>
                </c:pt>
                <c:pt idx="45">
                  <c:v>7</c:v>
                </c:pt>
                <c:pt idx="46">
                  <c:v>2</c:v>
                </c:pt>
                <c:pt idx="47">
                  <c:v>14</c:v>
                </c:pt>
                <c:pt idx="48">
                  <c:v>3</c:v>
                </c:pt>
                <c:pt idx="49">
                  <c:v>8</c:v>
                </c:pt>
                <c:pt idx="50">
                  <c:v>5</c:v>
                </c:pt>
                <c:pt idx="51">
                  <c:v>7</c:v>
                </c:pt>
                <c:pt idx="52">
                  <c:v>7</c:v>
                </c:pt>
                <c:pt idx="53">
                  <c:v>10</c:v>
                </c:pt>
                <c:pt idx="54">
                  <c:v>3</c:v>
                </c:pt>
                <c:pt idx="55">
                  <c:v>0</c:v>
                </c:pt>
                <c:pt idx="56">
                  <c:v>8</c:v>
                </c:pt>
                <c:pt idx="57">
                  <c:v>12</c:v>
                </c:pt>
                <c:pt idx="58">
                  <c:v>5</c:v>
                </c:pt>
                <c:pt idx="59">
                  <c:v>9</c:v>
                </c:pt>
                <c:pt idx="60">
                  <c:v>2</c:v>
                </c:pt>
                <c:pt idx="61">
                  <c:v>8</c:v>
                </c:pt>
                <c:pt idx="62">
                  <c:v>5</c:v>
                </c:pt>
                <c:pt idx="63">
                  <c:v>3</c:v>
                </c:pt>
                <c:pt idx="64">
                  <c:v>8</c:v>
                </c:pt>
                <c:pt idx="65">
                  <c:v>10</c:v>
                </c:pt>
                <c:pt idx="66">
                  <c:v>14</c:v>
                </c:pt>
                <c:pt idx="67">
                  <c:v>4</c:v>
                </c:pt>
                <c:pt idx="68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7-4BEF-A997-1ACCCCC0F591}"/>
            </c:ext>
          </c:extLst>
        </c:ser>
        <c:ser>
          <c:idx val="1"/>
          <c:order val="1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'Amputation Summary'!$AC$2</c:f>
                <c:numCache>
                  <c:formatCode>General</c:formatCode>
                  <c:ptCount val="1"/>
                  <c:pt idx="0">
                    <c:v>3</c:v>
                  </c:pt>
                </c:numCache>
              </c:numRef>
            </c:plus>
            <c:minus>
              <c:numRef>
                <c:f>'Amputation Summary'!$AB$2</c:f>
                <c:numCache>
                  <c:formatCode>General</c:formatCode>
                  <c:ptCount val="1"/>
                  <c:pt idx="0">
                    <c:v>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'Amputation Summary'!$AD$2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'Amputation Summary'!$AA$2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7-4BEF-A997-1ACCCCC0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5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10</xdr:col>
      <xdr:colOff>981075</xdr:colOff>
      <xdr:row>26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47</xdr:row>
      <xdr:rowOff>95250</xdr:rowOff>
    </xdr:from>
    <xdr:to>
      <xdr:col>6</xdr:col>
      <xdr:colOff>1095375</xdr:colOff>
      <xdr:row>67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47624</xdr:colOff>
      <xdr:row>32</xdr:row>
      <xdr:rowOff>122465</xdr:rowOff>
    </xdr:from>
    <xdr:to>
      <xdr:col>11</xdr:col>
      <xdr:colOff>1359</xdr:colOff>
      <xdr:row>47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95250</xdr:rowOff>
    </xdr:from>
    <xdr:to>
      <xdr:col>14</xdr:col>
      <xdr:colOff>76198</xdr:colOff>
      <xdr:row>27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31</xdr:row>
      <xdr:rowOff>133350</xdr:rowOff>
    </xdr:from>
    <xdr:to>
      <xdr:col>14</xdr:col>
      <xdr:colOff>171450</xdr:colOff>
      <xdr:row>57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54429</xdr:rowOff>
    </xdr:from>
    <xdr:to>
      <xdr:col>16</xdr:col>
      <xdr:colOff>314323</xdr:colOff>
      <xdr:row>27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47625</xdr:rowOff>
    </xdr:from>
    <xdr:to>
      <xdr:col>9</xdr:col>
      <xdr:colOff>816429</xdr:colOff>
      <xdr:row>53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5</xdr:row>
      <xdr:rowOff>152400</xdr:rowOff>
    </xdr:from>
    <xdr:to>
      <xdr:col>8</xdr:col>
      <xdr:colOff>217713</xdr:colOff>
      <xdr:row>28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38103</xdr:colOff>
      <xdr:row>2</xdr:row>
      <xdr:rowOff>95249</xdr:rowOff>
    </xdr:from>
    <xdr:to>
      <xdr:col>13</xdr:col>
      <xdr:colOff>95251</xdr:colOff>
      <xdr:row>26</xdr:row>
      <xdr:rowOff>171448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30</xdr:row>
      <xdr:rowOff>47625</xdr:rowOff>
    </xdr:from>
    <xdr:to>
      <xdr:col>8</xdr:col>
      <xdr:colOff>206374</xdr:colOff>
      <xdr:row>50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635000</xdr:colOff>
      <xdr:row>32</xdr:row>
      <xdr:rowOff>142875</xdr:rowOff>
    </xdr:from>
    <xdr:to>
      <xdr:col>15</xdr:col>
      <xdr:colOff>396875</xdr:colOff>
      <xdr:row>50</xdr:row>
      <xdr:rowOff>31750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51</xdr:row>
      <xdr:rowOff>0</xdr:rowOff>
    </xdr:from>
    <xdr:to>
      <xdr:col>14</xdr:col>
      <xdr:colOff>1409698</xdr:colOff>
      <xdr:row>76</xdr:row>
      <xdr:rowOff>152399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81643</xdr:rowOff>
    </xdr:from>
    <xdr:to>
      <xdr:col>12</xdr:col>
      <xdr:colOff>27215</xdr:colOff>
      <xdr:row>26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68036</xdr:colOff>
      <xdr:row>52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557893</xdr:colOff>
      <xdr:row>31</xdr:row>
      <xdr:rowOff>27215</xdr:rowOff>
    </xdr:from>
    <xdr:to>
      <xdr:col>13</xdr:col>
      <xdr:colOff>136071</xdr:colOff>
      <xdr:row>52</xdr:row>
      <xdr:rowOff>108856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tlVasReg/2018%20Annual%20Report/Ideas%20for%20Appendices/Newcastle%20Demo%20Apr%202019/NVR%20NHS%20Organisation%20Data%20View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A Summary"/>
      <sheetName val="AAA Summary"/>
      <sheetName val="AAA 2018 Report"/>
      <sheetName val="AAA 2017 Report"/>
      <sheetName val="AAA 2016 Report"/>
      <sheetName val="Carotid Endarterectomy"/>
      <sheetName val="AAA Limts"/>
      <sheetName val="CEA Limits"/>
      <sheetName val="AAA Funnel"/>
      <sheetName val="CEA Fun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1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8.140625" bestFit="1" customWidth="1"/>
    <col min="3" max="3" width="15.7109375" customWidth="1"/>
    <col min="4" max="4" width="10.28515625" bestFit="1" customWidth="1"/>
    <col min="5" max="5" width="13" customWidth="1"/>
    <col min="6" max="6" width="17.5703125" customWidth="1"/>
    <col min="7" max="7" width="17.85546875" customWidth="1"/>
    <col min="8" max="8" width="21.5703125" customWidth="1"/>
    <col min="9" max="9" width="11.7109375" bestFit="1" customWidth="1"/>
    <col min="10" max="10" width="20.42578125" customWidth="1"/>
    <col min="11" max="11" width="16.140625" customWidth="1"/>
    <col min="12" max="12" width="55.5703125" style="188" bestFit="1" customWidth="1"/>
    <col min="13" max="13" width="16.85546875" style="188" bestFit="1" customWidth="1"/>
    <col min="14" max="26" width="9.140625" style="188"/>
    <col min="27" max="27" width="13.28515625" style="195" bestFit="1" customWidth="1"/>
    <col min="28" max="28" width="11.28515625" style="195" customWidth="1"/>
    <col min="29" max="29" width="11.85546875" style="195" customWidth="1"/>
    <col min="30" max="30" width="7.28515625" style="195" bestFit="1" customWidth="1"/>
    <col min="31" max="31" width="10.140625" style="195" bestFit="1" customWidth="1"/>
    <col min="32" max="32" width="61" style="195" bestFit="1" customWidth="1"/>
    <col min="33" max="33" width="12" style="195" bestFit="1" customWidth="1"/>
    <col min="34" max="34" width="7.28515625" style="195" customWidth="1"/>
    <col min="35" max="35" width="7.42578125" style="195" bestFit="1" customWidth="1"/>
    <col min="36" max="51" width="9.140625" style="188"/>
    <col min="52" max="57" width="9.140625" style="49"/>
  </cols>
  <sheetData>
    <row r="1" spans="1:37" ht="27" customHeight="1" x14ac:dyDescent="0.25">
      <c r="A1" s="14" t="s">
        <v>286</v>
      </c>
      <c r="B1" s="15" t="s">
        <v>7</v>
      </c>
      <c r="AA1" s="189"/>
      <c r="AB1" s="190" t="s">
        <v>534</v>
      </c>
      <c r="AC1" s="190"/>
      <c r="AD1" s="191" t="s">
        <v>535</v>
      </c>
      <c r="AE1" s="192" t="s">
        <v>150</v>
      </c>
      <c r="AF1" s="192" t="s">
        <v>149</v>
      </c>
      <c r="AG1" s="193" t="s">
        <v>532</v>
      </c>
      <c r="AH1" s="194" t="s">
        <v>530</v>
      </c>
      <c r="AI1" s="194" t="s">
        <v>531</v>
      </c>
      <c r="AJ1" s="193" t="s">
        <v>293</v>
      </c>
      <c r="AK1" s="193" t="s">
        <v>294</v>
      </c>
    </row>
    <row r="2" spans="1:37" x14ac:dyDescent="0.25">
      <c r="AB2" s="195">
        <f>VLOOKUP($B$1,'AAA Summary'!$AF:$AK,3,FALSE)</f>
        <v>0.58333333333333337</v>
      </c>
      <c r="AD2" s="195">
        <f>VLOOKUP($B$1,'AAA Summary'!$AF:$AK,2,FALSE)</f>
        <v>35</v>
      </c>
      <c r="AE2" s="196" t="s">
        <v>12</v>
      </c>
      <c r="AF2" s="196" t="s">
        <v>358</v>
      </c>
      <c r="AG2" s="188">
        <v>1</v>
      </c>
      <c r="AH2" s="197">
        <v>1</v>
      </c>
      <c r="AI2" s="197">
        <v>0</v>
      </c>
      <c r="AJ2" s="188">
        <f>VLOOKUP($C29,'AAA Funnel'!$A:$C,2,FALSE)</f>
        <v>81</v>
      </c>
      <c r="AK2" s="188">
        <f>VLOOKUP($C29,'AAA Funnel'!$A:$C,3,FALSE)</f>
        <v>2.640784</v>
      </c>
    </row>
    <row r="3" spans="1:37" x14ac:dyDescent="0.25">
      <c r="AB3" s="195" t="s">
        <v>533</v>
      </c>
      <c r="AD3" s="195" t="s">
        <v>307</v>
      </c>
      <c r="AE3" s="196" t="s">
        <v>89</v>
      </c>
      <c r="AF3" s="196" t="s">
        <v>90</v>
      </c>
      <c r="AG3" s="188">
        <v>2</v>
      </c>
      <c r="AH3" s="197">
        <v>1</v>
      </c>
      <c r="AI3" s="197">
        <v>0</v>
      </c>
    </row>
    <row r="4" spans="1:37" x14ac:dyDescent="0.25">
      <c r="AB4" s="195">
        <f>VLOOKUP($B$1,'Elective Infra-Renal AAA Repair'!$B$8:$U$77,20,FALSE)</f>
        <v>0.84</v>
      </c>
      <c r="AD4" s="195">
        <f>VLOOKUP($B$1,'Elective Infra-Renal AAA Repair'!$B$8:$U$77,19,FALSE)</f>
        <v>16</v>
      </c>
      <c r="AE4" s="196" t="s">
        <v>13</v>
      </c>
      <c r="AF4" s="196" t="s">
        <v>14</v>
      </c>
      <c r="AG4" s="188">
        <v>3</v>
      </c>
      <c r="AH4" s="197">
        <v>1</v>
      </c>
      <c r="AI4" s="197">
        <v>0</v>
      </c>
    </row>
    <row r="5" spans="1:37" x14ac:dyDescent="0.25">
      <c r="AE5" s="196" t="s">
        <v>35</v>
      </c>
      <c r="AF5" s="196" t="s">
        <v>353</v>
      </c>
      <c r="AG5" s="188">
        <v>4</v>
      </c>
      <c r="AH5" s="197">
        <v>0.94117647058823528</v>
      </c>
      <c r="AI5" s="197">
        <v>5.8823529411764705E-2</v>
      </c>
    </row>
    <row r="6" spans="1:37" x14ac:dyDescent="0.25">
      <c r="AE6" s="196" t="s">
        <v>23</v>
      </c>
      <c r="AF6" s="196" t="s">
        <v>24</v>
      </c>
      <c r="AG6" s="188">
        <v>5</v>
      </c>
      <c r="AH6" s="197">
        <v>0.92105263157894735</v>
      </c>
      <c r="AI6" s="197">
        <v>7.8947368421052627E-2</v>
      </c>
    </row>
    <row r="7" spans="1:37" x14ac:dyDescent="0.25">
      <c r="AB7" s="195" t="s">
        <v>564</v>
      </c>
      <c r="AC7" s="195" t="s">
        <v>565</v>
      </c>
      <c r="AE7" s="196" t="s">
        <v>52</v>
      </c>
      <c r="AF7" s="196" t="s">
        <v>53</v>
      </c>
      <c r="AG7" s="188">
        <v>6</v>
      </c>
      <c r="AH7" s="197">
        <v>0.87804878048780488</v>
      </c>
      <c r="AI7" s="197">
        <v>0.12195121951219512</v>
      </c>
    </row>
    <row r="8" spans="1:37" x14ac:dyDescent="0.25">
      <c r="AE8" s="196" t="s">
        <v>17</v>
      </c>
      <c r="AF8" s="196" t="s">
        <v>504</v>
      </c>
      <c r="AG8" s="188">
        <v>7</v>
      </c>
      <c r="AH8" s="197">
        <v>0.83333333333333337</v>
      </c>
      <c r="AI8" s="197">
        <v>0.16666666666666666</v>
      </c>
    </row>
    <row r="9" spans="1:37" x14ac:dyDescent="0.25">
      <c r="AE9" s="196" t="s">
        <v>129</v>
      </c>
      <c r="AF9" s="196" t="s">
        <v>130</v>
      </c>
      <c r="AG9" s="188">
        <v>8</v>
      </c>
      <c r="AH9" s="197">
        <v>0.81481481481481477</v>
      </c>
      <c r="AI9" s="197">
        <v>0.18518518518518517</v>
      </c>
    </row>
    <row r="10" spans="1:37" x14ac:dyDescent="0.25">
      <c r="AE10" s="196" t="s">
        <v>3</v>
      </c>
      <c r="AF10" s="196" t="s">
        <v>4</v>
      </c>
      <c r="AG10" s="188">
        <v>9</v>
      </c>
      <c r="AH10" s="197">
        <v>0.8</v>
      </c>
      <c r="AI10" s="197">
        <v>0.2</v>
      </c>
    </row>
    <row r="11" spans="1:37" x14ac:dyDescent="0.25">
      <c r="AE11" s="196" t="s">
        <v>29</v>
      </c>
      <c r="AF11" s="196" t="s">
        <v>170</v>
      </c>
      <c r="AG11" s="188">
        <v>10</v>
      </c>
      <c r="AH11" s="197">
        <v>0.8</v>
      </c>
      <c r="AI11" s="197">
        <v>0.2</v>
      </c>
    </row>
    <row r="12" spans="1:37" x14ac:dyDescent="0.25">
      <c r="AE12" s="196" t="s">
        <v>30</v>
      </c>
      <c r="AF12" s="196" t="s">
        <v>31</v>
      </c>
      <c r="AG12" s="188">
        <v>11</v>
      </c>
      <c r="AH12" s="197">
        <v>0.8</v>
      </c>
      <c r="AI12" s="197">
        <v>0.2</v>
      </c>
    </row>
    <row r="13" spans="1:37" x14ac:dyDescent="0.25">
      <c r="AE13" s="196" t="s">
        <v>498</v>
      </c>
      <c r="AF13" s="196" t="s">
        <v>499</v>
      </c>
      <c r="AG13" s="188">
        <v>12</v>
      </c>
      <c r="AH13" s="197">
        <v>0.79487179487179482</v>
      </c>
      <c r="AI13" s="197">
        <v>0.20512820512820512</v>
      </c>
    </row>
    <row r="14" spans="1:37" x14ac:dyDescent="0.25">
      <c r="AE14" s="196" t="s">
        <v>525</v>
      </c>
      <c r="AF14" s="196" t="s">
        <v>526</v>
      </c>
      <c r="AG14" s="188">
        <v>13</v>
      </c>
      <c r="AH14" s="197">
        <v>0.78688524590163933</v>
      </c>
      <c r="AI14" s="197">
        <v>0.21311475409836064</v>
      </c>
    </row>
    <row r="15" spans="1:37" x14ac:dyDescent="0.25">
      <c r="AE15" s="196" t="s">
        <v>102</v>
      </c>
      <c r="AF15" s="196" t="s">
        <v>103</v>
      </c>
      <c r="AG15" s="188">
        <v>14</v>
      </c>
      <c r="AH15" s="197">
        <v>0.77777777777777779</v>
      </c>
      <c r="AI15" s="197">
        <v>0.22222222222222221</v>
      </c>
    </row>
    <row r="16" spans="1:37" x14ac:dyDescent="0.25">
      <c r="AE16" s="196" t="s">
        <v>104</v>
      </c>
      <c r="AF16" s="196" t="s">
        <v>105</v>
      </c>
      <c r="AG16" s="188">
        <v>15</v>
      </c>
      <c r="AH16" s="197">
        <v>0.77777777777777779</v>
      </c>
      <c r="AI16" s="197">
        <v>0.22222222222222221</v>
      </c>
    </row>
    <row r="17" spans="2:35" x14ac:dyDescent="0.25">
      <c r="AE17" s="196" t="s">
        <v>56</v>
      </c>
      <c r="AF17" s="196" t="s">
        <v>57</v>
      </c>
      <c r="AG17" s="188">
        <v>16</v>
      </c>
      <c r="AH17" s="197">
        <v>0.77551020408163263</v>
      </c>
      <c r="AI17" s="197">
        <v>0.22448979591836735</v>
      </c>
    </row>
    <row r="18" spans="2:35" x14ac:dyDescent="0.25">
      <c r="AE18" s="196" t="s">
        <v>50</v>
      </c>
      <c r="AF18" s="196" t="s">
        <v>51</v>
      </c>
      <c r="AG18" s="188">
        <v>17</v>
      </c>
      <c r="AH18" s="197">
        <v>0.75806451612903225</v>
      </c>
      <c r="AI18" s="197">
        <v>0.24193548387096775</v>
      </c>
    </row>
    <row r="19" spans="2:35" x14ac:dyDescent="0.25">
      <c r="AE19" s="196" t="s">
        <v>133</v>
      </c>
      <c r="AF19" s="196" t="s">
        <v>134</v>
      </c>
      <c r="AG19" s="188">
        <v>18</v>
      </c>
      <c r="AH19" s="197">
        <v>0.75</v>
      </c>
      <c r="AI19" s="197">
        <v>0.25</v>
      </c>
    </row>
    <row r="20" spans="2:35" x14ac:dyDescent="0.25">
      <c r="AE20" s="196" t="s">
        <v>72</v>
      </c>
      <c r="AF20" s="196" t="s">
        <v>73</v>
      </c>
      <c r="AG20" s="188">
        <v>19</v>
      </c>
      <c r="AH20" s="197">
        <v>0.75</v>
      </c>
      <c r="AI20" s="197">
        <v>0.25</v>
      </c>
    </row>
    <row r="21" spans="2:35" x14ac:dyDescent="0.25">
      <c r="AE21" s="196" t="s">
        <v>111</v>
      </c>
      <c r="AF21" s="196" t="s">
        <v>112</v>
      </c>
      <c r="AG21" s="188">
        <v>20</v>
      </c>
      <c r="AH21" s="197">
        <v>0.75</v>
      </c>
      <c r="AI21" s="197">
        <v>0.25</v>
      </c>
    </row>
    <row r="22" spans="2:35" x14ac:dyDescent="0.25">
      <c r="AE22" s="196" t="s">
        <v>85</v>
      </c>
      <c r="AF22" s="196" t="s">
        <v>86</v>
      </c>
      <c r="AG22" s="188">
        <v>21</v>
      </c>
      <c r="AH22" s="197">
        <v>0.72222222222222221</v>
      </c>
      <c r="AI22" s="197">
        <v>0.27777777777777779</v>
      </c>
    </row>
    <row r="23" spans="2:35" x14ac:dyDescent="0.25">
      <c r="AE23" s="196" t="s">
        <v>139</v>
      </c>
      <c r="AF23" s="196" t="s">
        <v>140</v>
      </c>
      <c r="AG23" s="188">
        <v>22</v>
      </c>
      <c r="AH23" s="197">
        <v>0.70588235294117652</v>
      </c>
      <c r="AI23" s="197">
        <v>0.29411764705882354</v>
      </c>
    </row>
    <row r="24" spans="2:35" x14ac:dyDescent="0.25">
      <c r="AE24" s="196" t="s">
        <v>137</v>
      </c>
      <c r="AF24" s="196" t="s">
        <v>138</v>
      </c>
      <c r="AG24" s="188">
        <v>23</v>
      </c>
      <c r="AH24" s="197">
        <v>0.7</v>
      </c>
      <c r="AI24" s="197">
        <v>0.3</v>
      </c>
    </row>
    <row r="25" spans="2:35" x14ac:dyDescent="0.25">
      <c r="AE25" s="196" t="s">
        <v>69</v>
      </c>
      <c r="AF25" s="196" t="s">
        <v>70</v>
      </c>
      <c r="AG25" s="188">
        <v>24</v>
      </c>
      <c r="AH25" s="197">
        <v>0.66666666666666663</v>
      </c>
      <c r="AI25" s="197">
        <v>0.33333333333333331</v>
      </c>
    </row>
    <row r="26" spans="2:35" x14ac:dyDescent="0.25">
      <c r="AE26" s="196" t="s">
        <v>123</v>
      </c>
      <c r="AF26" s="196" t="s">
        <v>124</v>
      </c>
      <c r="AG26" s="188">
        <v>25</v>
      </c>
      <c r="AH26" s="197">
        <v>0.6607142857142857</v>
      </c>
      <c r="AI26" s="197">
        <v>0.3392857142857143</v>
      </c>
    </row>
    <row r="27" spans="2:35" ht="15.75" thickBot="1" x14ac:dyDescent="0.3">
      <c r="AE27" s="196" t="s">
        <v>8</v>
      </c>
      <c r="AF27" s="196" t="s">
        <v>9</v>
      </c>
      <c r="AG27" s="188">
        <v>26</v>
      </c>
      <c r="AH27" s="197">
        <v>0.65454545454545454</v>
      </c>
      <c r="AI27" s="197">
        <v>0.34545454545454546</v>
      </c>
    </row>
    <row r="28" spans="2:35" ht="60.75" thickBot="1" x14ac:dyDescent="0.3">
      <c r="B28" s="16" t="s">
        <v>149</v>
      </c>
      <c r="C28" s="16" t="s">
        <v>150</v>
      </c>
      <c r="D28" s="17" t="s">
        <v>158</v>
      </c>
      <c r="E28" s="17" t="s">
        <v>159</v>
      </c>
      <c r="F28" s="16" t="s">
        <v>164</v>
      </c>
      <c r="G28" s="16" t="s">
        <v>165</v>
      </c>
      <c r="H28" s="16" t="s">
        <v>690</v>
      </c>
      <c r="AE28" s="196" t="s">
        <v>127</v>
      </c>
      <c r="AF28" s="196" t="s">
        <v>128</v>
      </c>
      <c r="AG28" s="188">
        <v>27</v>
      </c>
      <c r="AH28" s="197">
        <v>0.64</v>
      </c>
      <c r="AI28" s="197">
        <v>0.36</v>
      </c>
    </row>
    <row r="29" spans="2:35" ht="15.75" thickBot="1" x14ac:dyDescent="0.3">
      <c r="B29" s="18" t="str">
        <f>B1</f>
        <v>Aneurin Bevan University Health Board</v>
      </c>
      <c r="C29" s="20" t="str">
        <f>VLOOKUP($B29,'Elective Infra-Renal AAA Repair'!$B:$V,14,FALSE)</f>
        <v>7A6</v>
      </c>
      <c r="D29" s="63">
        <f>VLOOKUP($B29,'Elective Infra-Renal AAA Repair'!$B:$V,2,FALSE)</f>
        <v>25</v>
      </c>
      <c r="E29" s="63">
        <f>VLOOKUP($B29,'Elective Infra-Renal AAA Repair'!$B:$V,3,FALSE)</f>
        <v>11</v>
      </c>
      <c r="F29" s="64" t="str">
        <f>VLOOKUP($B29,'Elective Infra-Renal AAA Repair'!$B:$V,12,FALSE)</f>
        <v>7 (6 - 11)</v>
      </c>
      <c r="G29" s="64" t="str">
        <f>VLOOKUP($B29,'Elective Infra-Renal AAA Repair'!$B:$V,11,FALSE)</f>
        <v>1 (1 - 5)</v>
      </c>
      <c r="H29" s="65">
        <f>VLOOKUP($B29,'Elective Infra-Renal AAA Repair'!$B:$V,13,FALSE)/100</f>
        <v>2.6407840000000002E-2</v>
      </c>
      <c r="AE29" s="196" t="s">
        <v>61</v>
      </c>
      <c r="AF29" s="196" t="s">
        <v>62</v>
      </c>
      <c r="AG29" s="188">
        <v>28</v>
      </c>
      <c r="AH29" s="197">
        <v>0.63636363636363635</v>
      </c>
      <c r="AI29" s="197">
        <v>0.36363636363636365</v>
      </c>
    </row>
    <row r="30" spans="2:35" ht="15.75" thickBot="1" x14ac:dyDescent="0.3">
      <c r="B30" s="212" t="s">
        <v>287</v>
      </c>
      <c r="C30" s="212"/>
      <c r="D30" s="54">
        <v>2744</v>
      </c>
      <c r="E30" s="54">
        <v>1628</v>
      </c>
      <c r="F30" s="55" t="s">
        <v>330</v>
      </c>
      <c r="G30" s="55" t="s">
        <v>235</v>
      </c>
      <c r="H30" s="56">
        <v>1.4E-2</v>
      </c>
      <c r="AE30" s="196" t="s">
        <v>125</v>
      </c>
      <c r="AF30" s="196" t="s">
        <v>126</v>
      </c>
      <c r="AG30" s="188">
        <v>29</v>
      </c>
      <c r="AH30" s="197">
        <v>0.625</v>
      </c>
      <c r="AI30" s="197">
        <v>0.375</v>
      </c>
    </row>
    <row r="31" spans="2:35" ht="15.75" thickBot="1" x14ac:dyDescent="0.3">
      <c r="AE31" s="196" t="s">
        <v>513</v>
      </c>
      <c r="AF31" s="196" t="s">
        <v>514</v>
      </c>
      <c r="AG31" s="188">
        <v>30</v>
      </c>
      <c r="AH31" s="197">
        <v>0.6097560975609756</v>
      </c>
      <c r="AI31" s="197">
        <v>0.3902439024390244</v>
      </c>
    </row>
    <row r="32" spans="2:35" ht="16.5" thickBot="1" x14ac:dyDescent="0.3">
      <c r="B32" s="18" t="s">
        <v>308</v>
      </c>
      <c r="C32" s="103" t="s">
        <v>309</v>
      </c>
      <c r="D32" s="105" t="s">
        <v>310</v>
      </c>
      <c r="E32" s="103" t="s">
        <v>311</v>
      </c>
      <c r="F32" s="105" t="s">
        <v>301</v>
      </c>
      <c r="G32" s="28" t="s">
        <v>312</v>
      </c>
      <c r="H32" s="213" t="s">
        <v>166</v>
      </c>
      <c r="I32" s="213"/>
      <c r="J32" s="213"/>
      <c r="K32" s="1"/>
      <c r="AE32" s="196" t="s">
        <v>98</v>
      </c>
      <c r="AF32" s="196" t="s">
        <v>99</v>
      </c>
      <c r="AG32" s="188">
        <v>31</v>
      </c>
      <c r="AH32" s="197">
        <v>0.60869565217391308</v>
      </c>
      <c r="AI32" s="197">
        <v>0.39130434782608697</v>
      </c>
    </row>
    <row r="33" spans="2:35" ht="15.75" thickBot="1" x14ac:dyDescent="0.3">
      <c r="B33" s="18" t="s">
        <v>166</v>
      </c>
      <c r="C33" s="110">
        <v>2020</v>
      </c>
      <c r="D33" s="106">
        <f>VLOOKUP('AAA Summary'!$C$29,'AAA 2020 Report'!$A$8:$U$84,5,FALSE)</f>
        <v>0.98</v>
      </c>
      <c r="E33" s="107">
        <f>VLOOKUP('AAA Summary'!$C$29,'AAA 2020 Report'!$A$8:$U$84,17,FALSE)</f>
        <v>4</v>
      </c>
      <c r="F33" s="106">
        <v>0.91</v>
      </c>
      <c r="AE33" s="196" t="s">
        <v>97</v>
      </c>
      <c r="AF33" s="196" t="s">
        <v>352</v>
      </c>
      <c r="AG33" s="188">
        <v>32</v>
      </c>
      <c r="AH33" s="197">
        <v>0.6</v>
      </c>
      <c r="AI33" s="197">
        <v>0.4</v>
      </c>
    </row>
    <row r="34" spans="2:35" ht="15.75" thickBot="1" x14ac:dyDescent="0.3">
      <c r="B34" s="18"/>
      <c r="C34" s="110">
        <v>2011</v>
      </c>
      <c r="D34" s="102">
        <f>VLOOKUP('AAA Summary'!$C$29,'AAA 2021 Report'!$A$8:$V$78,5,FALSE)</f>
        <v>0.91666669999999995</v>
      </c>
      <c r="E34" s="108">
        <f>VLOOKUP('AAA Summary'!$C$29,'AAA 2021 Report'!$A$8:$U$78,16,FALSE)</f>
        <v>2</v>
      </c>
      <c r="F34" s="102">
        <v>0.9</v>
      </c>
      <c r="AE34" s="196" t="s">
        <v>100</v>
      </c>
      <c r="AF34" s="196" t="s">
        <v>101</v>
      </c>
      <c r="AG34" s="188">
        <v>33</v>
      </c>
      <c r="AH34" s="197">
        <v>0.6</v>
      </c>
      <c r="AI34" s="197">
        <v>0.4</v>
      </c>
    </row>
    <row r="35" spans="2:35" ht="15.75" thickBot="1" x14ac:dyDescent="0.3">
      <c r="B35" s="18"/>
      <c r="C35" s="110">
        <v>2022</v>
      </c>
      <c r="D35" s="102">
        <f>VLOOKUP('AAA Summary'!$C$29,'Elective Infra-Renal AAA Repair'!$A$8:$V$77,5,FALSE)</f>
        <v>0.84</v>
      </c>
      <c r="E35" s="108">
        <f>VLOOKUP('AAA Summary'!$C$29,'Elective Infra-Renal AAA Repair'!$A$8:$U$77,16,FALSE)</f>
        <v>1</v>
      </c>
      <c r="F35" s="102">
        <v>0.92</v>
      </c>
      <c r="L35" s="188">
        <f>MATCH(H32,'Elective Infra-Renal AAA Repair'!$E$7:$H$7,0)</f>
        <v>1</v>
      </c>
      <c r="AE35" s="196" t="s">
        <v>19</v>
      </c>
      <c r="AF35" s="196" t="s">
        <v>20</v>
      </c>
      <c r="AG35" s="188">
        <v>34</v>
      </c>
      <c r="AH35" s="197">
        <v>0.6</v>
      </c>
      <c r="AI35" s="197">
        <v>0.4</v>
      </c>
    </row>
    <row r="36" spans="2:35" ht="15.75" thickBot="1" x14ac:dyDescent="0.3">
      <c r="C36" s="109"/>
      <c r="D36" s="10"/>
      <c r="E36" s="109"/>
      <c r="F36" s="10"/>
      <c r="AE36" s="196" t="s">
        <v>6</v>
      </c>
      <c r="AF36" s="196" t="s">
        <v>7</v>
      </c>
      <c r="AG36" s="188">
        <v>35</v>
      </c>
      <c r="AH36" s="197">
        <v>0.58333333333333337</v>
      </c>
      <c r="AI36" s="197">
        <v>0.41666666666666669</v>
      </c>
    </row>
    <row r="37" spans="2:35" ht="15.75" thickBot="1" x14ac:dyDescent="0.3">
      <c r="B37" s="18" t="s">
        <v>160</v>
      </c>
      <c r="C37" s="110">
        <v>2020</v>
      </c>
      <c r="D37" s="106">
        <f>VLOOKUP('AAA Summary'!$C$29,'AAA 2020 Report'!$A$8:$U$84,6,FALSE)</f>
        <v>0.95</v>
      </c>
      <c r="E37" s="107">
        <f>VLOOKUP('AAA Summary'!$C$29,'AAA 2020 Report'!$A$8:$U$84,18,FALSE)</f>
        <v>1</v>
      </c>
      <c r="F37" s="106">
        <v>0.95</v>
      </c>
      <c r="AE37" s="196" t="s">
        <v>83</v>
      </c>
      <c r="AF37" s="196" t="s">
        <v>84</v>
      </c>
      <c r="AG37" s="188">
        <v>36</v>
      </c>
      <c r="AH37" s="197">
        <v>0.58333333333333337</v>
      </c>
      <c r="AI37" s="197">
        <v>0.41666666666666669</v>
      </c>
    </row>
    <row r="38" spans="2:35" ht="15.75" thickBot="1" x14ac:dyDescent="0.3">
      <c r="B38" s="18"/>
      <c r="C38" s="110">
        <v>2021</v>
      </c>
      <c r="D38" s="102">
        <f>VLOOKUP('AAA Summary'!$C$29,'AAA 2021 Report'!$A$8:$V$78,6,FALSE)</f>
        <v>0.91666669999999995</v>
      </c>
      <c r="E38" s="108">
        <f>VLOOKUP('AAA Summary'!$C$29,'AAA 2021 Report'!$A$8:$U$78,17,FALSE)</f>
        <v>1</v>
      </c>
      <c r="F38" s="106">
        <v>0.97</v>
      </c>
      <c r="AE38" s="196" t="s">
        <v>501</v>
      </c>
      <c r="AF38" s="196" t="s">
        <v>502</v>
      </c>
      <c r="AG38" s="188">
        <v>37</v>
      </c>
      <c r="AH38" s="197">
        <v>0.57999999999999996</v>
      </c>
      <c r="AI38" s="197">
        <v>0.42</v>
      </c>
    </row>
    <row r="39" spans="2:35" ht="15.75" thickBot="1" x14ac:dyDescent="0.3">
      <c r="B39" s="18"/>
      <c r="C39" s="110">
        <v>2022</v>
      </c>
      <c r="D39" s="102">
        <f>VLOOKUP('AAA Summary'!$C$29,'Elective Infra-Renal AAA Repair'!$A$8:$V$77,6,FALSE)</f>
        <v>0.92</v>
      </c>
      <c r="E39" s="108">
        <f>VLOOKUP('AAA Summary'!$C$29,'Elective Infra-Renal AAA Repair'!$A$8:$U$77,17,FALSE)</f>
        <v>1</v>
      </c>
      <c r="F39" s="106">
        <v>0.97</v>
      </c>
      <c r="AE39" s="196" t="s">
        <v>10</v>
      </c>
      <c r="AF39" s="196" t="s">
        <v>11</v>
      </c>
      <c r="AG39" s="188">
        <v>38</v>
      </c>
      <c r="AH39" s="197">
        <v>0.57894736842105265</v>
      </c>
      <c r="AI39" s="197">
        <v>0.42105263157894735</v>
      </c>
    </row>
    <row r="40" spans="2:35" ht="15.75" thickBot="1" x14ac:dyDescent="0.3">
      <c r="C40" s="109"/>
      <c r="D40" s="10"/>
      <c r="E40" s="109"/>
      <c r="F40" s="10"/>
      <c r="AE40" s="196" t="s">
        <v>106</v>
      </c>
      <c r="AF40" s="196" t="s">
        <v>356</v>
      </c>
      <c r="AG40" s="188">
        <v>39</v>
      </c>
      <c r="AH40" s="197">
        <v>0.56521739130434778</v>
      </c>
      <c r="AI40" s="197">
        <v>0.43478260869565216</v>
      </c>
    </row>
    <row r="41" spans="2:35" ht="15.75" thickBot="1" x14ac:dyDescent="0.3">
      <c r="B41" s="18" t="s">
        <v>161</v>
      </c>
      <c r="C41" s="110">
        <v>2020</v>
      </c>
      <c r="D41" s="106">
        <f>VLOOKUP('AAA Summary'!$C$29,'AAA 2020 Report'!$A$8:$U$84,7,FALSE)</f>
        <v>0.97</v>
      </c>
      <c r="E41" s="107">
        <f>VLOOKUP('AAA Summary'!$C$29,'AAA 2020 Report'!$A$8:$U$84,19,FALSE)</f>
        <v>3</v>
      </c>
      <c r="F41" s="106">
        <v>0.91</v>
      </c>
      <c r="AE41" s="196" t="s">
        <v>95</v>
      </c>
      <c r="AF41" s="196" t="s">
        <v>285</v>
      </c>
      <c r="AG41" s="188">
        <v>40</v>
      </c>
      <c r="AH41" s="197">
        <v>0.56521739130434778</v>
      </c>
      <c r="AI41" s="197">
        <v>0.43478260869565216</v>
      </c>
    </row>
    <row r="42" spans="2:35" ht="15.75" thickBot="1" x14ac:dyDescent="0.3">
      <c r="B42" s="20"/>
      <c r="C42" s="110">
        <v>2021</v>
      </c>
      <c r="D42" s="102">
        <f>VLOOKUP('AAA Summary'!$C$29,'AAA 2021 Report'!$A$8:$V$78,7,FALSE)</f>
        <v>0.91666669999999995</v>
      </c>
      <c r="E42" s="108">
        <f>VLOOKUP('AAA Summary'!$C$29,'AAA 2021 Report'!$A$8:$U$78,18,FALSE)</f>
        <v>2</v>
      </c>
      <c r="F42" s="106">
        <v>0.91</v>
      </c>
      <c r="AE42" s="196" t="s">
        <v>109</v>
      </c>
      <c r="AF42" s="196" t="s">
        <v>110</v>
      </c>
      <c r="AG42" s="188">
        <v>41</v>
      </c>
      <c r="AH42" s="197">
        <v>0.5641025641025641</v>
      </c>
      <c r="AI42" s="197">
        <v>0.4358974358974359</v>
      </c>
    </row>
    <row r="43" spans="2:35" ht="15.75" thickBot="1" x14ac:dyDescent="0.3">
      <c r="B43" s="20"/>
      <c r="C43" s="110">
        <v>2022</v>
      </c>
      <c r="D43" s="102">
        <f>VLOOKUP('AAA Summary'!$C$29,'Elective Infra-Renal AAA Repair'!$A$8:$V$77,7,FALSE)</f>
        <v>0.82608689999999996</v>
      </c>
      <c r="E43" s="108">
        <f>VLOOKUP('AAA Summary'!$C$29,'Elective Infra-Renal AAA Repair'!$A$8:$U$77,18,FALSE)</f>
        <v>1</v>
      </c>
      <c r="F43" s="106">
        <v>0.92</v>
      </c>
      <c r="AE43" s="196" t="s">
        <v>44</v>
      </c>
      <c r="AF43" s="196" t="s">
        <v>45</v>
      </c>
      <c r="AG43" s="188">
        <v>42</v>
      </c>
      <c r="AH43" s="197">
        <v>0.55263157894736847</v>
      </c>
      <c r="AI43" s="197">
        <v>0.44736842105263158</v>
      </c>
    </row>
    <row r="44" spans="2:35" ht="15.75" thickBot="1" x14ac:dyDescent="0.3">
      <c r="C44" s="109"/>
      <c r="D44" s="10"/>
      <c r="E44" s="109"/>
      <c r="F44" s="10"/>
      <c r="AE44" s="196" t="s">
        <v>79</v>
      </c>
      <c r="AF44" s="196" t="s">
        <v>80</v>
      </c>
      <c r="AG44" s="188">
        <v>43</v>
      </c>
      <c r="AH44" s="197">
        <v>0.54545454545454541</v>
      </c>
      <c r="AI44" s="197">
        <v>0.45454545454545453</v>
      </c>
    </row>
    <row r="45" spans="2:35" ht="15.75" thickBot="1" x14ac:dyDescent="0.3">
      <c r="B45" s="35" t="s">
        <v>162</v>
      </c>
      <c r="C45" s="110">
        <v>2020</v>
      </c>
      <c r="D45" s="106">
        <f>VLOOKUP('AAA Summary'!$C$29,'AAA 2020 Report'!$A$8:$U$84,8,FALSE)</f>
        <v>0.91</v>
      </c>
      <c r="E45" s="107">
        <f>VLOOKUP('AAA Summary'!$C$29,'AAA 2020 Report'!$A$8:$U$84,20,FALSE)</f>
        <v>3</v>
      </c>
      <c r="F45" s="106">
        <v>0.85</v>
      </c>
      <c r="AE45" s="196" t="s">
        <v>115</v>
      </c>
      <c r="AF45" s="196" t="s">
        <v>116</v>
      </c>
      <c r="AG45" s="188">
        <v>44</v>
      </c>
      <c r="AH45" s="197">
        <v>0.54166666666666663</v>
      </c>
      <c r="AI45" s="197">
        <v>0.45833333333333331</v>
      </c>
    </row>
    <row r="46" spans="2:35" ht="15.75" thickBot="1" x14ac:dyDescent="0.3">
      <c r="B46" s="20"/>
      <c r="C46" s="110">
        <v>2021</v>
      </c>
      <c r="D46" s="102">
        <f>VLOOKUP('AAA Summary'!$C$29,'AAA 2021 Report'!$A$8:$V$78,8,FALSE)</f>
        <v>0.91666669999999995</v>
      </c>
      <c r="E46" s="108">
        <f>VLOOKUP('AAA Summary'!$C$29,'AAA 2021 Report'!$A$8:$U$78,19,FALSE)</f>
        <v>2</v>
      </c>
      <c r="F46" s="106">
        <v>0.86</v>
      </c>
      <c r="AE46" s="196" t="s">
        <v>32</v>
      </c>
      <c r="AF46" s="196" t="s">
        <v>33</v>
      </c>
      <c r="AG46" s="188">
        <v>45</v>
      </c>
      <c r="AH46" s="197">
        <v>0.53846153846153844</v>
      </c>
      <c r="AI46" s="197">
        <v>0.46153846153846156</v>
      </c>
    </row>
    <row r="47" spans="2:35" ht="15.75" thickBot="1" x14ac:dyDescent="0.3">
      <c r="B47" s="20"/>
      <c r="C47" s="110">
        <v>2022</v>
      </c>
      <c r="D47" s="102">
        <f>VLOOKUP('AAA Summary'!$C$29,'Elective Infra-Renal AAA Repair'!$A$8:$V$77,8,FALSE)</f>
        <v>0.84</v>
      </c>
      <c r="E47" s="108">
        <f>VLOOKUP('AAA Summary'!$C$29,'Elective Infra-Renal AAA Repair'!$A$8:$U$77,19,FALSE)</f>
        <v>2</v>
      </c>
      <c r="F47" s="106">
        <v>0.87</v>
      </c>
      <c r="AE47" s="196" t="s">
        <v>0</v>
      </c>
      <c r="AF47" s="196" t="s">
        <v>1</v>
      </c>
      <c r="AG47" s="188">
        <v>46</v>
      </c>
      <c r="AH47" s="197">
        <v>0.53333333333333333</v>
      </c>
      <c r="AI47" s="197">
        <v>0.46666666666666667</v>
      </c>
    </row>
    <row r="48" spans="2:35" x14ac:dyDescent="0.25">
      <c r="AE48" s="196" t="s">
        <v>113</v>
      </c>
      <c r="AF48" s="196" t="s">
        <v>114</v>
      </c>
      <c r="AG48" s="188">
        <v>47</v>
      </c>
      <c r="AH48" s="197">
        <v>0.53333333333333333</v>
      </c>
      <c r="AI48" s="197">
        <v>0.46666666666666667</v>
      </c>
    </row>
    <row r="49" spans="31:35" x14ac:dyDescent="0.25">
      <c r="AE49" s="196" t="s">
        <v>74</v>
      </c>
      <c r="AF49" s="196" t="s">
        <v>355</v>
      </c>
      <c r="AG49" s="188">
        <v>48</v>
      </c>
      <c r="AH49" s="197">
        <v>0.5</v>
      </c>
      <c r="AI49" s="197">
        <v>0.5</v>
      </c>
    </row>
    <row r="50" spans="31:35" x14ac:dyDescent="0.25">
      <c r="AE50" s="196" t="s">
        <v>119</v>
      </c>
      <c r="AF50" s="196" t="s">
        <v>120</v>
      </c>
      <c r="AG50" s="188">
        <v>49</v>
      </c>
      <c r="AH50" s="197">
        <v>0.5</v>
      </c>
      <c r="AI50" s="197">
        <v>0.5</v>
      </c>
    </row>
    <row r="51" spans="31:35" x14ac:dyDescent="0.25">
      <c r="AE51" s="196" t="s">
        <v>54</v>
      </c>
      <c r="AF51" s="196" t="s">
        <v>55</v>
      </c>
      <c r="AG51" s="188">
        <v>50</v>
      </c>
      <c r="AH51" s="197">
        <v>0.4925373134328358</v>
      </c>
      <c r="AI51" s="197">
        <v>0.5074626865671642</v>
      </c>
    </row>
    <row r="52" spans="31:35" x14ac:dyDescent="0.25">
      <c r="AE52" s="196" t="s">
        <v>71</v>
      </c>
      <c r="AF52" s="196" t="s">
        <v>518</v>
      </c>
      <c r="AG52" s="188">
        <v>51</v>
      </c>
      <c r="AH52" s="197">
        <v>0.47619047619047616</v>
      </c>
      <c r="AI52" s="197">
        <v>0.52380952380952384</v>
      </c>
    </row>
    <row r="53" spans="31:35" x14ac:dyDescent="0.25">
      <c r="AE53" s="196" t="s">
        <v>40</v>
      </c>
      <c r="AF53" s="196" t="s">
        <v>41</v>
      </c>
      <c r="AG53" s="188">
        <v>52</v>
      </c>
      <c r="AH53" s="197">
        <v>0.47457627118644069</v>
      </c>
      <c r="AI53" s="197">
        <v>0.52542372881355937</v>
      </c>
    </row>
    <row r="54" spans="31:35" x14ac:dyDescent="0.25">
      <c r="AE54" s="196" t="s">
        <v>93</v>
      </c>
      <c r="AF54" s="196" t="s">
        <v>94</v>
      </c>
      <c r="AG54" s="188">
        <v>53</v>
      </c>
      <c r="AH54" s="197">
        <v>0.47058823529411764</v>
      </c>
      <c r="AI54" s="197">
        <v>0.52941176470588236</v>
      </c>
    </row>
    <row r="55" spans="31:35" x14ac:dyDescent="0.25">
      <c r="AE55" s="196" t="s">
        <v>34</v>
      </c>
      <c r="AF55" s="196" t="s">
        <v>357</v>
      </c>
      <c r="AG55" s="188">
        <v>54</v>
      </c>
      <c r="AH55" s="197">
        <v>0.45652173913043476</v>
      </c>
      <c r="AI55" s="197">
        <v>0.54347826086956519</v>
      </c>
    </row>
    <row r="56" spans="31:35" x14ac:dyDescent="0.25">
      <c r="AE56" s="196" t="s">
        <v>147</v>
      </c>
      <c r="AF56" s="196" t="s">
        <v>148</v>
      </c>
      <c r="AG56" s="188">
        <v>55</v>
      </c>
      <c r="AH56" s="197">
        <v>0.45333333333333331</v>
      </c>
      <c r="AI56" s="197">
        <v>0.54666666666666663</v>
      </c>
    </row>
    <row r="57" spans="31:35" x14ac:dyDescent="0.25">
      <c r="AE57" s="196" t="s">
        <v>65</v>
      </c>
      <c r="AF57" s="196" t="s">
        <v>66</v>
      </c>
      <c r="AG57" s="188">
        <v>56</v>
      </c>
      <c r="AH57" s="197">
        <v>0.43137254901960786</v>
      </c>
      <c r="AI57" s="197">
        <v>0.56862745098039214</v>
      </c>
    </row>
    <row r="58" spans="31:35" x14ac:dyDescent="0.25">
      <c r="AE58" s="196" t="s">
        <v>46</v>
      </c>
      <c r="AF58" s="196" t="s">
        <v>47</v>
      </c>
      <c r="AG58" s="188">
        <v>57</v>
      </c>
      <c r="AH58" s="197">
        <v>0.41666666666666669</v>
      </c>
      <c r="AI58" s="197">
        <v>0.58333333333333337</v>
      </c>
    </row>
    <row r="59" spans="31:35" x14ac:dyDescent="0.25">
      <c r="AE59" s="196" t="s">
        <v>60</v>
      </c>
      <c r="AF59" s="196" t="s">
        <v>169</v>
      </c>
      <c r="AG59" s="188">
        <v>58</v>
      </c>
      <c r="AH59" s="197">
        <v>0.41666666666666669</v>
      </c>
      <c r="AI59" s="197">
        <v>0.58333333333333337</v>
      </c>
    </row>
    <row r="60" spans="31:35" x14ac:dyDescent="0.25">
      <c r="AE60" s="196" t="s">
        <v>2</v>
      </c>
      <c r="AF60" s="196" t="s">
        <v>168</v>
      </c>
      <c r="AG60" s="188">
        <v>59</v>
      </c>
      <c r="AH60" s="197">
        <v>0.40740740740740738</v>
      </c>
      <c r="AI60" s="197">
        <v>0.59259259259259256</v>
      </c>
    </row>
    <row r="61" spans="31:35" x14ac:dyDescent="0.25">
      <c r="AE61" s="196" t="s">
        <v>91</v>
      </c>
      <c r="AF61" s="196" t="s">
        <v>92</v>
      </c>
      <c r="AG61" s="188">
        <v>60</v>
      </c>
      <c r="AH61" s="197">
        <v>0.4</v>
      </c>
      <c r="AI61" s="197">
        <v>0.6</v>
      </c>
    </row>
    <row r="62" spans="31:35" x14ac:dyDescent="0.25">
      <c r="AE62" s="196" t="s">
        <v>96</v>
      </c>
      <c r="AF62" s="196" t="s">
        <v>360</v>
      </c>
      <c r="AG62" s="188">
        <v>61</v>
      </c>
      <c r="AH62" s="197">
        <v>0.37777777777777777</v>
      </c>
      <c r="AI62" s="197">
        <v>0.62222222222222223</v>
      </c>
    </row>
    <row r="63" spans="31:35" x14ac:dyDescent="0.25">
      <c r="AE63" s="196" t="s">
        <v>505</v>
      </c>
      <c r="AF63" s="196" t="s">
        <v>506</v>
      </c>
      <c r="AG63" s="188">
        <v>62</v>
      </c>
      <c r="AH63" s="197">
        <v>0.375</v>
      </c>
      <c r="AI63" s="197">
        <v>0.625</v>
      </c>
    </row>
    <row r="64" spans="31:35" x14ac:dyDescent="0.25">
      <c r="AE64" s="196" t="s">
        <v>141</v>
      </c>
      <c r="AF64" s="196" t="s">
        <v>142</v>
      </c>
      <c r="AG64" s="188">
        <v>63</v>
      </c>
      <c r="AH64" s="197">
        <v>0.33333333333333331</v>
      </c>
      <c r="AI64" s="197">
        <v>0.66666666666666663</v>
      </c>
    </row>
    <row r="65" spans="31:35" x14ac:dyDescent="0.25">
      <c r="AE65" s="196" t="s">
        <v>25</v>
      </c>
      <c r="AF65" s="196" t="s">
        <v>26</v>
      </c>
      <c r="AG65" s="188">
        <v>64</v>
      </c>
      <c r="AH65" s="197">
        <v>0.26923076923076922</v>
      </c>
      <c r="AI65" s="197">
        <v>0.73076923076923073</v>
      </c>
    </row>
    <row r="66" spans="31:35" x14ac:dyDescent="0.25">
      <c r="AE66" s="196" t="s">
        <v>135</v>
      </c>
      <c r="AF66" s="196" t="s">
        <v>136</v>
      </c>
      <c r="AG66" s="188">
        <v>65</v>
      </c>
      <c r="AH66" s="197">
        <v>0.25</v>
      </c>
      <c r="AI66" s="197">
        <v>0.75</v>
      </c>
    </row>
    <row r="67" spans="31:35" x14ac:dyDescent="0.25">
      <c r="AE67" s="196" t="s">
        <v>42</v>
      </c>
      <c r="AF67" s="196" t="s">
        <v>43</v>
      </c>
      <c r="AG67" s="188">
        <v>66</v>
      </c>
      <c r="AH67" s="197">
        <v>0.21212121212121213</v>
      </c>
      <c r="AI67" s="197">
        <v>0.78787878787878785</v>
      </c>
    </row>
    <row r="68" spans="31:35" x14ac:dyDescent="0.25">
      <c r="AE68" s="196" t="s">
        <v>107</v>
      </c>
      <c r="AF68" s="196" t="s">
        <v>108</v>
      </c>
      <c r="AG68" s="188">
        <v>67</v>
      </c>
      <c r="AH68" s="197">
        <v>0.16666666666666666</v>
      </c>
      <c r="AI68" s="197">
        <v>0.83333333333333337</v>
      </c>
    </row>
    <row r="69" spans="31:35" x14ac:dyDescent="0.25">
      <c r="AE69" s="196" t="s">
        <v>15</v>
      </c>
      <c r="AF69" s="196" t="s">
        <v>16</v>
      </c>
      <c r="AG69" s="188">
        <v>68</v>
      </c>
      <c r="AH69" s="197">
        <v>0</v>
      </c>
      <c r="AI69" s="197">
        <v>1</v>
      </c>
    </row>
    <row r="70" spans="31:35" x14ac:dyDescent="0.25">
      <c r="AE70" s="196" t="s">
        <v>131</v>
      </c>
      <c r="AF70" s="196" t="s">
        <v>132</v>
      </c>
      <c r="AG70" s="188">
        <v>69</v>
      </c>
      <c r="AH70" s="197">
        <v>0</v>
      </c>
      <c r="AI70" s="197">
        <v>1</v>
      </c>
    </row>
    <row r="71" spans="31:35" x14ac:dyDescent="0.25">
      <c r="AE71" s="196" t="s">
        <v>143</v>
      </c>
      <c r="AF71" s="196" t="s">
        <v>144</v>
      </c>
      <c r="AG71" s="188">
        <v>70</v>
      </c>
      <c r="AH71" s="197">
        <v>0</v>
      </c>
      <c r="AI71" s="197">
        <v>1</v>
      </c>
    </row>
  </sheetData>
  <mergeCells count="2">
    <mergeCell ref="B30:C30"/>
    <mergeCell ref="H32:J3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'S:\NatlVasReg\2018 Annual Report\Ideas for Appendices\Newcastle Demo Apr 2019\[NVR NHS Organisation Data Viewer.xlsx]AAA 2018 Report'!#REF!</xm:f>
          </x14:formula1>
          <xm:sqref>C1</xm:sqref>
        </x14:dataValidation>
        <x14:dataValidation type="list" allowBlank="1" showInputMessage="1" showErrorMessage="1">
          <x14:formula1>
            <xm:f>'AAA 2021 Report'!$E$7:$H$7</xm:f>
          </x14:formula1>
          <xm:sqref>H32</xm:sqref>
        </x14:dataValidation>
        <x14:dataValidation type="list" allowBlank="1" showInputMessage="1" showErrorMessage="1">
          <x14:formula1>
            <xm:f>'Elective Infra-Renal AAA Repair'!$B$8:$B$77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0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5.140625" bestFit="1" customWidth="1"/>
    <col min="3" max="6" width="16.140625" customWidth="1"/>
    <col min="7" max="7" width="18.5703125" customWidth="1"/>
    <col min="8" max="8" width="19.85546875" customWidth="1"/>
    <col min="9" max="9" width="16.140625" customWidth="1"/>
    <col min="10" max="10" width="19.85546875" customWidth="1"/>
    <col min="11" max="11" width="16.140625" customWidth="1"/>
    <col min="14" max="14" width="9.140625" style="188"/>
    <col min="15" max="15" width="36.7109375" style="188" customWidth="1"/>
    <col min="16" max="31" width="9.140625" style="188"/>
    <col min="32" max="32" width="61" style="188" bestFit="1" customWidth="1"/>
    <col min="33" max="53" width="9.140625" style="188"/>
    <col min="54" max="67" width="9.140625" style="26"/>
  </cols>
  <sheetData>
    <row r="1" spans="1:39" ht="30.75" customHeight="1" x14ac:dyDescent="0.25">
      <c r="A1" s="14" t="s">
        <v>286</v>
      </c>
      <c r="B1" s="15" t="s">
        <v>7</v>
      </c>
      <c r="AA1" s="189" t="s">
        <v>290</v>
      </c>
      <c r="AB1" s="198" t="s">
        <v>291</v>
      </c>
      <c r="AC1" s="198" t="s">
        <v>292</v>
      </c>
      <c r="AD1" s="199" t="s">
        <v>288</v>
      </c>
      <c r="AE1" s="209" t="s">
        <v>150</v>
      </c>
      <c r="AF1" s="209" t="s">
        <v>149</v>
      </c>
      <c r="AG1" s="198" t="s">
        <v>288</v>
      </c>
      <c r="AH1" s="210" t="s">
        <v>492</v>
      </c>
      <c r="AI1" s="210" t="s">
        <v>349</v>
      </c>
      <c r="AJ1" s="210" t="s">
        <v>350</v>
      </c>
      <c r="AK1" s="198" t="s">
        <v>340</v>
      </c>
      <c r="AL1" s="193" t="s">
        <v>341</v>
      </c>
      <c r="AM1" s="193" t="s">
        <v>294</v>
      </c>
    </row>
    <row r="2" spans="1:39" ht="15.75" x14ac:dyDescent="0.25">
      <c r="E2" s="28" t="s">
        <v>312</v>
      </c>
      <c r="F2" s="213" t="s">
        <v>157</v>
      </c>
      <c r="G2" s="213"/>
      <c r="H2" s="213"/>
      <c r="I2" s="213"/>
      <c r="AA2" s="188">
        <f>VLOOKUP($B$1,$AF:$AK,3,FALSE)</f>
        <v>12</v>
      </c>
      <c r="AB2" s="188">
        <f>VLOOKUP($B$1,$AF:$AK,4,FALSE)</f>
        <v>6</v>
      </c>
      <c r="AC2" s="188">
        <f>VLOOKUP($B$1,$AF:$AK,5,FALSE)</f>
        <v>6</v>
      </c>
      <c r="AD2" s="188">
        <f>VLOOKUP($B$1,$AF:$AK,2,FALSE)</f>
        <v>26</v>
      </c>
      <c r="AE2" s="204" t="s">
        <v>25</v>
      </c>
      <c r="AF2" s="211" t="s">
        <v>26</v>
      </c>
      <c r="AG2" s="211">
        <v>1</v>
      </c>
      <c r="AH2" s="208">
        <f>VLOOKUP($AE2,'Carotid Endarterectomy'!$A:$AA,24,FALSE)</f>
        <v>5</v>
      </c>
      <c r="AI2" s="208">
        <f>VLOOKUP($AE2,'Carotid Endarterectomy'!$A:$AA,25,FALSE)</f>
        <v>2</v>
      </c>
      <c r="AJ2" s="208">
        <f>VLOOKUP($AE2,'Carotid Endarterectomy'!$A:$AA,26,FALSE)</f>
        <v>6</v>
      </c>
      <c r="AK2" s="208">
        <f>VLOOKUP($AE2,'Carotid Endarterectomy'!$A:$AA,27,FALSE)</f>
        <v>14</v>
      </c>
      <c r="AL2" s="188">
        <f>VLOOKUP($C29,'CEA Funnel'!$A:$C,2,FALSE)</f>
        <v>92</v>
      </c>
      <c r="AM2" s="188">
        <f>VLOOKUP($C29,'CEA Funnel'!$A:$C,3,FALSE)</f>
        <v>3.4673099999999999</v>
      </c>
    </row>
    <row r="3" spans="1:39" x14ac:dyDescent="0.25">
      <c r="AE3" s="204" t="s">
        <v>102</v>
      </c>
      <c r="AF3" s="211" t="s">
        <v>103</v>
      </c>
      <c r="AG3" s="211">
        <v>2</v>
      </c>
      <c r="AH3" s="208">
        <f>VLOOKUP($AE3,'Carotid Endarterectomy'!$A:$AA,24,FALSE)</f>
        <v>7</v>
      </c>
      <c r="AI3" s="208">
        <f>VLOOKUP($AE3,'Carotid Endarterectomy'!$A:$AA,25,FALSE)</f>
        <v>3</v>
      </c>
      <c r="AJ3" s="208">
        <f>VLOOKUP($AE3,'Carotid Endarterectomy'!$A:$AA,26,FALSE)</f>
        <v>4</v>
      </c>
      <c r="AK3" s="208">
        <f>VLOOKUP($AE3,'Carotid Endarterectomy'!$A:$AA,27,FALSE)</f>
        <v>14</v>
      </c>
    </row>
    <row r="4" spans="1:39" x14ac:dyDescent="0.25">
      <c r="O4" s="188">
        <f>MATCH(F2,'Carotid Endarterectomy'!$G$1:$H$1,0)</f>
        <v>2</v>
      </c>
      <c r="AE4" s="204" t="s">
        <v>30</v>
      </c>
      <c r="AF4" s="211" t="s">
        <v>31</v>
      </c>
      <c r="AG4" s="211">
        <v>3</v>
      </c>
      <c r="AH4" s="208">
        <f>VLOOKUP($AE4,'Carotid Endarterectomy'!$A:$AA,24,FALSE)</f>
        <v>7</v>
      </c>
      <c r="AI4" s="208">
        <f>VLOOKUP($AE4,'Carotid Endarterectomy'!$A:$AA,25,FALSE)</f>
        <v>2</v>
      </c>
      <c r="AJ4" s="208">
        <f>VLOOKUP($AE4,'Carotid Endarterectomy'!$A:$AA,26,FALSE)</f>
        <v>3</v>
      </c>
      <c r="AK4" s="208">
        <f>VLOOKUP($AE4,'Carotid Endarterectomy'!$A:$AA,27,FALSE)</f>
        <v>14</v>
      </c>
    </row>
    <row r="5" spans="1:39" x14ac:dyDescent="0.25">
      <c r="AE5" s="204" t="s">
        <v>12</v>
      </c>
      <c r="AF5" s="211" t="s">
        <v>358</v>
      </c>
      <c r="AG5" s="211">
        <v>4</v>
      </c>
      <c r="AH5" s="208">
        <f>VLOOKUP($AE5,'Carotid Endarterectomy'!$A:$AA,24,FALSE)</f>
        <v>7</v>
      </c>
      <c r="AI5" s="208">
        <f>VLOOKUP($AE5,'Carotid Endarterectomy'!$A:$AA,25,FALSE)</f>
        <v>2</v>
      </c>
      <c r="AJ5" s="208">
        <f>VLOOKUP($AE5,'Carotid Endarterectomy'!$A:$AA,26,FALSE)</f>
        <v>3</v>
      </c>
      <c r="AK5" s="208">
        <f>VLOOKUP($AE5,'Carotid Endarterectomy'!$A:$AA,27,FALSE)</f>
        <v>14</v>
      </c>
    </row>
    <row r="6" spans="1:39" x14ac:dyDescent="0.25">
      <c r="AE6" s="204" t="s">
        <v>113</v>
      </c>
      <c r="AF6" s="211" t="s">
        <v>114</v>
      </c>
      <c r="AG6" s="211">
        <v>5</v>
      </c>
      <c r="AH6" s="208">
        <f>VLOOKUP($AE6,'Carotid Endarterectomy'!$A:$AA,24,FALSE)</f>
        <v>7</v>
      </c>
      <c r="AI6" s="208">
        <f>VLOOKUP($AE6,'Carotid Endarterectomy'!$A:$AA,25,FALSE)</f>
        <v>2</v>
      </c>
      <c r="AJ6" s="208">
        <f>VLOOKUP($AE6,'Carotid Endarterectomy'!$A:$AA,26,FALSE)</f>
        <v>6</v>
      </c>
      <c r="AK6" s="208">
        <f>VLOOKUP($AE6,'Carotid Endarterectomy'!$A:$AA,27,FALSE)</f>
        <v>14</v>
      </c>
    </row>
    <row r="7" spans="1:39" x14ac:dyDescent="0.25">
      <c r="AE7" s="204" t="s">
        <v>129</v>
      </c>
      <c r="AF7" s="211" t="s">
        <v>130</v>
      </c>
      <c r="AG7" s="211">
        <v>6</v>
      </c>
      <c r="AH7" s="208">
        <f>VLOOKUP($AE7,'Carotid Endarterectomy'!$A:$AA,24,FALSE)</f>
        <v>7</v>
      </c>
      <c r="AI7" s="208">
        <f>VLOOKUP($AE7,'Carotid Endarterectomy'!$A:$AA,25,FALSE)</f>
        <v>2</v>
      </c>
      <c r="AJ7" s="208">
        <f>VLOOKUP($AE7,'Carotid Endarterectomy'!$A:$AA,26,FALSE)</f>
        <v>10</v>
      </c>
      <c r="AK7" s="208">
        <f>VLOOKUP($AE7,'Carotid Endarterectomy'!$A:$AA,27,FALSE)</f>
        <v>14</v>
      </c>
    </row>
    <row r="8" spans="1:39" x14ac:dyDescent="0.25">
      <c r="AE8" s="204" t="s">
        <v>52</v>
      </c>
      <c r="AF8" s="211" t="s">
        <v>53</v>
      </c>
      <c r="AG8" s="211">
        <v>7</v>
      </c>
      <c r="AH8" s="208">
        <f>VLOOKUP($AE8,'Carotid Endarterectomy'!$A:$AA,24,FALSE)</f>
        <v>8</v>
      </c>
      <c r="AI8" s="208">
        <f>VLOOKUP($AE8,'Carotid Endarterectomy'!$A:$AA,25,FALSE)</f>
        <v>3</v>
      </c>
      <c r="AJ8" s="208">
        <f>VLOOKUP($AE8,'Carotid Endarterectomy'!$A:$AA,26,FALSE)</f>
        <v>5</v>
      </c>
      <c r="AK8" s="208">
        <f>VLOOKUP($AE8,'Carotid Endarterectomy'!$A:$AA,27,FALSE)</f>
        <v>14</v>
      </c>
    </row>
    <row r="9" spans="1:39" x14ac:dyDescent="0.25">
      <c r="AE9" s="204" t="s">
        <v>95</v>
      </c>
      <c r="AF9" s="211" t="s">
        <v>285</v>
      </c>
      <c r="AG9" s="211">
        <v>8</v>
      </c>
      <c r="AH9" s="208">
        <f>VLOOKUP($AE9,'Carotid Endarterectomy'!$A:$AA,24,FALSE)</f>
        <v>8</v>
      </c>
      <c r="AI9" s="208">
        <f>VLOOKUP($AE9,'Carotid Endarterectomy'!$A:$AA,25,FALSE)</f>
        <v>3</v>
      </c>
      <c r="AJ9" s="208">
        <f>VLOOKUP($AE9,'Carotid Endarterectomy'!$A:$AA,26,FALSE)</f>
        <v>6</v>
      </c>
      <c r="AK9" s="208">
        <f>VLOOKUP($AE9,'Carotid Endarterectomy'!$A:$AA,27,FALSE)</f>
        <v>14</v>
      </c>
    </row>
    <row r="10" spans="1:39" x14ac:dyDescent="0.25">
      <c r="AE10" s="204" t="s">
        <v>501</v>
      </c>
      <c r="AF10" s="211" t="s">
        <v>502</v>
      </c>
      <c r="AG10" s="211">
        <v>9</v>
      </c>
      <c r="AH10" s="208">
        <f>VLOOKUP($AE10,'Carotid Endarterectomy'!$A:$AA,24,FALSE)</f>
        <v>8</v>
      </c>
      <c r="AI10" s="208">
        <f>VLOOKUP($AE10,'Carotid Endarterectomy'!$A:$AA,25,FALSE)</f>
        <v>2</v>
      </c>
      <c r="AJ10" s="208">
        <f>VLOOKUP($AE10,'Carotid Endarterectomy'!$A:$AA,26,FALSE)</f>
        <v>5</v>
      </c>
      <c r="AK10" s="208">
        <f>VLOOKUP($AE10,'Carotid Endarterectomy'!$A:$AA,27,FALSE)</f>
        <v>14</v>
      </c>
    </row>
    <row r="11" spans="1:39" x14ac:dyDescent="0.25">
      <c r="AE11" s="204" t="s">
        <v>111</v>
      </c>
      <c r="AF11" s="211" t="s">
        <v>112</v>
      </c>
      <c r="AG11" s="211">
        <v>10</v>
      </c>
      <c r="AH11" s="208">
        <f>VLOOKUP($AE11,'Carotid Endarterectomy'!$A:$AA,24,FALSE)</f>
        <v>9</v>
      </c>
      <c r="AI11" s="208">
        <f>VLOOKUP($AE11,'Carotid Endarterectomy'!$A:$AA,25,FALSE)</f>
        <v>4</v>
      </c>
      <c r="AJ11" s="208">
        <f>VLOOKUP($AE11,'Carotid Endarterectomy'!$A:$AA,26,FALSE)</f>
        <v>5</v>
      </c>
      <c r="AK11" s="208">
        <f>VLOOKUP($AE11,'Carotid Endarterectomy'!$A:$AA,27,FALSE)</f>
        <v>14</v>
      </c>
    </row>
    <row r="12" spans="1:39" x14ac:dyDescent="0.25">
      <c r="AE12" s="204" t="s">
        <v>115</v>
      </c>
      <c r="AF12" s="211" t="s">
        <v>116</v>
      </c>
      <c r="AG12" s="211">
        <v>11</v>
      </c>
      <c r="AH12" s="208">
        <f>VLOOKUP($AE12,'Carotid Endarterectomy'!$A:$AA,24,FALSE)</f>
        <v>9</v>
      </c>
      <c r="AI12" s="208">
        <f>VLOOKUP($AE12,'Carotid Endarterectomy'!$A:$AA,25,FALSE)</f>
        <v>3</v>
      </c>
      <c r="AJ12" s="208">
        <f>VLOOKUP($AE12,'Carotid Endarterectomy'!$A:$AA,26,FALSE)</f>
        <v>6</v>
      </c>
      <c r="AK12" s="208">
        <f>VLOOKUP($AE12,'Carotid Endarterectomy'!$A:$AA,27,FALSE)</f>
        <v>14</v>
      </c>
    </row>
    <row r="13" spans="1:39" x14ac:dyDescent="0.25">
      <c r="AE13" s="204" t="s">
        <v>622</v>
      </c>
      <c r="AF13" s="211" t="s">
        <v>623</v>
      </c>
      <c r="AG13" s="211">
        <v>12</v>
      </c>
      <c r="AH13" s="208">
        <f>VLOOKUP($AE13,'Carotid Endarterectomy'!$A:$AA,24,FALSE)</f>
        <v>9</v>
      </c>
      <c r="AI13" s="208">
        <f>VLOOKUP($AE13,'Carotid Endarterectomy'!$A:$AA,25,FALSE)</f>
        <v>3</v>
      </c>
      <c r="AJ13" s="208">
        <f>VLOOKUP($AE13,'Carotid Endarterectomy'!$A:$AA,26,FALSE)</f>
        <v>9</v>
      </c>
      <c r="AK13" s="208">
        <f>VLOOKUP($AE13,'Carotid Endarterectomy'!$A:$AA,27,FALSE)</f>
        <v>14</v>
      </c>
    </row>
    <row r="14" spans="1:39" x14ac:dyDescent="0.25">
      <c r="AE14" s="204" t="s">
        <v>10</v>
      </c>
      <c r="AF14" s="211" t="s">
        <v>11</v>
      </c>
      <c r="AG14" s="211">
        <v>13</v>
      </c>
      <c r="AH14" s="208">
        <f>VLOOKUP($AE14,'Carotid Endarterectomy'!$A:$AA,24,FALSE)</f>
        <v>9</v>
      </c>
      <c r="AI14" s="208">
        <f>VLOOKUP($AE14,'Carotid Endarterectomy'!$A:$AA,25,FALSE)</f>
        <v>2</v>
      </c>
      <c r="AJ14" s="208">
        <f>VLOOKUP($AE14,'Carotid Endarterectomy'!$A:$AA,26,FALSE)</f>
        <v>2</v>
      </c>
      <c r="AK14" s="208">
        <f>VLOOKUP($AE14,'Carotid Endarterectomy'!$A:$AA,27,FALSE)</f>
        <v>14</v>
      </c>
    </row>
    <row r="15" spans="1:39" x14ac:dyDescent="0.25">
      <c r="AE15" s="204" t="s">
        <v>83</v>
      </c>
      <c r="AF15" s="211" t="s">
        <v>84</v>
      </c>
      <c r="AG15" s="211">
        <v>14</v>
      </c>
      <c r="AH15" s="208">
        <f>VLOOKUP($AE15,'Carotid Endarterectomy'!$A:$AA,24,FALSE)</f>
        <v>9</v>
      </c>
      <c r="AI15" s="208">
        <f>VLOOKUP($AE15,'Carotid Endarterectomy'!$A:$AA,25,FALSE)</f>
        <v>2</v>
      </c>
      <c r="AJ15" s="208">
        <f>VLOOKUP($AE15,'Carotid Endarterectomy'!$A:$AA,26,FALSE)</f>
        <v>6</v>
      </c>
      <c r="AK15" s="208">
        <f>VLOOKUP($AE15,'Carotid Endarterectomy'!$A:$AA,27,FALSE)</f>
        <v>14</v>
      </c>
    </row>
    <row r="16" spans="1:39" x14ac:dyDescent="0.25">
      <c r="AE16" s="204" t="s">
        <v>69</v>
      </c>
      <c r="AF16" s="211" t="s">
        <v>70</v>
      </c>
      <c r="AG16" s="211">
        <v>15</v>
      </c>
      <c r="AH16" s="208">
        <f>VLOOKUP($AE16,'Carotid Endarterectomy'!$A:$AA,24,FALSE)</f>
        <v>9</v>
      </c>
      <c r="AI16" s="208">
        <f>VLOOKUP($AE16,'Carotid Endarterectomy'!$A:$AA,25,FALSE)</f>
        <v>2</v>
      </c>
      <c r="AJ16" s="208">
        <f>VLOOKUP($AE16,'Carotid Endarterectomy'!$A:$AA,26,FALSE)</f>
        <v>9</v>
      </c>
      <c r="AK16" s="208">
        <f>VLOOKUP($AE16,'Carotid Endarterectomy'!$A:$AA,27,FALSE)</f>
        <v>14</v>
      </c>
    </row>
    <row r="17" spans="2:37" x14ac:dyDescent="0.25">
      <c r="AE17" s="204" t="s">
        <v>106</v>
      </c>
      <c r="AF17" s="211" t="s">
        <v>356</v>
      </c>
      <c r="AG17" s="211">
        <v>16</v>
      </c>
      <c r="AH17" s="208">
        <f>VLOOKUP($AE17,'Carotid Endarterectomy'!$A:$AA,24,FALSE)</f>
        <v>10</v>
      </c>
      <c r="AI17" s="208">
        <f>VLOOKUP($AE17,'Carotid Endarterectomy'!$A:$AA,25,FALSE)</f>
        <v>4</v>
      </c>
      <c r="AJ17" s="208">
        <f>VLOOKUP($AE17,'Carotid Endarterectomy'!$A:$AA,26,FALSE)</f>
        <v>11</v>
      </c>
      <c r="AK17" s="208">
        <f>VLOOKUP($AE17,'Carotid Endarterectomy'!$A:$AA,27,FALSE)</f>
        <v>14</v>
      </c>
    </row>
    <row r="18" spans="2:37" x14ac:dyDescent="0.25">
      <c r="AE18" s="204" t="s">
        <v>100</v>
      </c>
      <c r="AF18" s="211" t="s">
        <v>101</v>
      </c>
      <c r="AG18" s="211">
        <v>17</v>
      </c>
      <c r="AH18" s="208">
        <f>VLOOKUP($AE18,'Carotid Endarterectomy'!$A:$AA,24,FALSE)</f>
        <v>10</v>
      </c>
      <c r="AI18" s="208">
        <f>VLOOKUP($AE18,'Carotid Endarterectomy'!$A:$AA,25,FALSE)</f>
        <v>3</v>
      </c>
      <c r="AJ18" s="208">
        <f>VLOOKUP($AE18,'Carotid Endarterectomy'!$A:$AA,26,FALSE)</f>
        <v>4</v>
      </c>
      <c r="AK18" s="208">
        <f>VLOOKUP($AE18,'Carotid Endarterectomy'!$A:$AA,27,FALSE)</f>
        <v>14</v>
      </c>
    </row>
    <row r="19" spans="2:37" x14ac:dyDescent="0.25">
      <c r="AE19" s="204" t="s">
        <v>141</v>
      </c>
      <c r="AF19" s="211" t="s">
        <v>142</v>
      </c>
      <c r="AG19" s="211">
        <v>18</v>
      </c>
      <c r="AH19" s="208">
        <f>VLOOKUP($AE19,'Carotid Endarterectomy'!$A:$AA,24,FALSE)</f>
        <v>10</v>
      </c>
      <c r="AI19" s="208">
        <f>VLOOKUP($AE19,'Carotid Endarterectomy'!$A:$AA,25,FALSE)</f>
        <v>3</v>
      </c>
      <c r="AJ19" s="208">
        <f>VLOOKUP($AE19,'Carotid Endarterectomy'!$A:$AA,26,FALSE)</f>
        <v>5</v>
      </c>
      <c r="AK19" s="208">
        <f>VLOOKUP($AE19,'Carotid Endarterectomy'!$A:$AA,27,FALSE)</f>
        <v>14</v>
      </c>
    </row>
    <row r="20" spans="2:37" x14ac:dyDescent="0.25">
      <c r="AE20" s="204" t="s">
        <v>85</v>
      </c>
      <c r="AF20" s="211" t="s">
        <v>86</v>
      </c>
      <c r="AG20" s="211">
        <v>19</v>
      </c>
      <c r="AH20" s="208">
        <f>VLOOKUP($AE20,'Carotid Endarterectomy'!$A:$AA,24,FALSE)</f>
        <v>10</v>
      </c>
      <c r="AI20" s="208">
        <f>VLOOKUP($AE20,'Carotid Endarterectomy'!$A:$AA,25,FALSE)</f>
        <v>3</v>
      </c>
      <c r="AJ20" s="208">
        <f>VLOOKUP($AE20,'Carotid Endarterectomy'!$A:$AA,26,FALSE)</f>
        <v>10</v>
      </c>
      <c r="AK20" s="208">
        <f>VLOOKUP($AE20,'Carotid Endarterectomy'!$A:$AA,27,FALSE)</f>
        <v>14</v>
      </c>
    </row>
    <row r="21" spans="2:37" x14ac:dyDescent="0.25">
      <c r="AE21" s="204" t="s">
        <v>139</v>
      </c>
      <c r="AF21" s="211" t="s">
        <v>140</v>
      </c>
      <c r="AG21" s="211">
        <v>20</v>
      </c>
      <c r="AH21" s="208">
        <f>VLOOKUP($AE21,'Carotid Endarterectomy'!$A:$AA,24,FALSE)</f>
        <v>10</v>
      </c>
      <c r="AI21" s="208">
        <f>VLOOKUP($AE21,'Carotid Endarterectomy'!$A:$AA,25,FALSE)</f>
        <v>3</v>
      </c>
      <c r="AJ21" s="208">
        <f>VLOOKUP($AE21,'Carotid Endarterectomy'!$A:$AA,26,FALSE)</f>
        <v>12</v>
      </c>
      <c r="AK21" s="208">
        <f>VLOOKUP($AE21,'Carotid Endarterectomy'!$A:$AA,27,FALSE)</f>
        <v>14</v>
      </c>
    </row>
    <row r="22" spans="2:37" x14ac:dyDescent="0.25">
      <c r="AE22" s="204" t="s">
        <v>65</v>
      </c>
      <c r="AF22" s="211" t="s">
        <v>66</v>
      </c>
      <c r="AG22" s="211">
        <v>21</v>
      </c>
      <c r="AH22" s="208">
        <f>VLOOKUP($AE22,'Carotid Endarterectomy'!$A:$AA,24,FALSE)</f>
        <v>10</v>
      </c>
      <c r="AI22" s="208">
        <f>VLOOKUP($AE22,'Carotid Endarterectomy'!$A:$AA,25,FALSE)</f>
        <v>2</v>
      </c>
      <c r="AJ22" s="208">
        <f>VLOOKUP($AE22,'Carotid Endarterectomy'!$A:$AA,26,FALSE)</f>
        <v>4</v>
      </c>
      <c r="AK22" s="208">
        <f>VLOOKUP($AE22,'Carotid Endarterectomy'!$A:$AA,27,FALSE)</f>
        <v>14</v>
      </c>
    </row>
    <row r="23" spans="2:37" x14ac:dyDescent="0.25">
      <c r="AE23" s="204" t="s">
        <v>626</v>
      </c>
      <c r="AF23" s="188" t="s">
        <v>518</v>
      </c>
      <c r="AG23" s="211">
        <v>22</v>
      </c>
      <c r="AH23" s="208">
        <f>VLOOKUP($AE23,'Carotid Endarterectomy'!$A:$AA,24,FALSE)</f>
        <v>10</v>
      </c>
      <c r="AI23" s="208">
        <f>VLOOKUP($AE23,'Carotid Endarterectomy'!$A:$AA,25,FALSE)</f>
        <v>2</v>
      </c>
      <c r="AJ23" s="208">
        <f>VLOOKUP($AE23,'Carotid Endarterectomy'!$A:$AA,26,FALSE)</f>
        <v>4</v>
      </c>
      <c r="AK23" s="208">
        <f>VLOOKUP($AE23,'Carotid Endarterectomy'!$A:$AA,27,FALSE)</f>
        <v>14</v>
      </c>
    </row>
    <row r="24" spans="2:37" x14ac:dyDescent="0.25">
      <c r="AE24" s="204" t="s">
        <v>87</v>
      </c>
      <c r="AF24" s="211" t="s">
        <v>88</v>
      </c>
      <c r="AG24" s="211">
        <v>23</v>
      </c>
      <c r="AH24" s="208">
        <f>VLOOKUP($AE24,'Carotid Endarterectomy'!$A:$AA,24,FALSE)</f>
        <v>11</v>
      </c>
      <c r="AI24" s="208">
        <f>VLOOKUP($AE24,'Carotid Endarterectomy'!$A:$AA,25,FALSE)</f>
        <v>3</v>
      </c>
      <c r="AJ24" s="208">
        <f>VLOOKUP($AE24,'Carotid Endarterectomy'!$A:$AA,26,FALSE)</f>
        <v>3</v>
      </c>
      <c r="AK24" s="208">
        <f>VLOOKUP($AE24,'Carotid Endarterectomy'!$A:$AA,27,FALSE)</f>
        <v>14</v>
      </c>
    </row>
    <row r="25" spans="2:37" x14ac:dyDescent="0.25">
      <c r="AE25" s="204" t="s">
        <v>525</v>
      </c>
      <c r="AF25" s="211" t="s">
        <v>526</v>
      </c>
      <c r="AG25" s="211">
        <v>24</v>
      </c>
      <c r="AH25" s="208">
        <f>VLOOKUP($AE25,'Carotid Endarterectomy'!$A:$AA,24,FALSE)</f>
        <v>11</v>
      </c>
      <c r="AI25" s="208">
        <f>VLOOKUP($AE25,'Carotid Endarterectomy'!$A:$AA,25,FALSE)</f>
        <v>3</v>
      </c>
      <c r="AJ25" s="208">
        <f>VLOOKUP($AE25,'Carotid Endarterectomy'!$A:$AA,26,FALSE)</f>
        <v>5</v>
      </c>
      <c r="AK25" s="208">
        <f>VLOOKUP($AE25,'Carotid Endarterectomy'!$A:$AA,27,FALSE)</f>
        <v>14</v>
      </c>
    </row>
    <row r="26" spans="2:37" x14ac:dyDescent="0.25">
      <c r="AE26" s="204" t="s">
        <v>109</v>
      </c>
      <c r="AF26" s="211" t="s">
        <v>110</v>
      </c>
      <c r="AG26" s="211">
        <v>25</v>
      </c>
      <c r="AH26" s="208">
        <f>VLOOKUP($AE26,'Carotid Endarterectomy'!$A:$AA,24,FALSE)</f>
        <v>11</v>
      </c>
      <c r="AI26" s="208">
        <f>VLOOKUP($AE26,'Carotid Endarterectomy'!$A:$AA,25,FALSE)</f>
        <v>3</v>
      </c>
      <c r="AJ26" s="208">
        <f>VLOOKUP($AE26,'Carotid Endarterectomy'!$A:$AA,26,FALSE)</f>
        <v>8</v>
      </c>
      <c r="AK26" s="208">
        <f>VLOOKUP($AE26,'Carotid Endarterectomy'!$A:$AA,27,FALSE)</f>
        <v>14</v>
      </c>
    </row>
    <row r="27" spans="2:37" ht="15.75" thickBot="1" x14ac:dyDescent="0.3">
      <c r="AE27" s="204" t="s">
        <v>6</v>
      </c>
      <c r="AF27" s="211" t="s">
        <v>7</v>
      </c>
      <c r="AG27" s="211">
        <v>26</v>
      </c>
      <c r="AH27" s="208">
        <f>VLOOKUP($AE27,'Carotid Endarterectomy'!$A:$AA,24,FALSE)</f>
        <v>12</v>
      </c>
      <c r="AI27" s="208">
        <f>VLOOKUP($AE27,'Carotid Endarterectomy'!$A:$AA,25,FALSE)</f>
        <v>6</v>
      </c>
      <c r="AJ27" s="208">
        <f>VLOOKUP($AE27,'Carotid Endarterectomy'!$A:$AA,26,FALSE)</f>
        <v>6</v>
      </c>
      <c r="AK27" s="208">
        <f>VLOOKUP($AE27,'Carotid Endarterectomy'!$A:$AA,27,FALSE)</f>
        <v>14</v>
      </c>
    </row>
    <row r="28" spans="2:37" ht="60.75" thickBot="1" x14ac:dyDescent="0.3">
      <c r="B28" s="16" t="s">
        <v>149</v>
      </c>
      <c r="C28" s="16" t="s">
        <v>150</v>
      </c>
      <c r="D28" s="17" t="s">
        <v>151</v>
      </c>
      <c r="E28" s="16" t="s">
        <v>156</v>
      </c>
      <c r="F28" s="17" t="s">
        <v>152</v>
      </c>
      <c r="G28" s="17" t="s">
        <v>153</v>
      </c>
      <c r="H28" s="17" t="s">
        <v>154</v>
      </c>
      <c r="I28" s="16" t="s">
        <v>682</v>
      </c>
      <c r="J28" s="16" t="s">
        <v>157</v>
      </c>
      <c r="K28" s="16" t="s">
        <v>167</v>
      </c>
      <c r="AE28" s="204" t="s">
        <v>2</v>
      </c>
      <c r="AF28" s="211" t="s">
        <v>168</v>
      </c>
      <c r="AG28" s="211">
        <v>27</v>
      </c>
      <c r="AH28" s="208">
        <f>VLOOKUP($AE28,'Carotid Endarterectomy'!$A:$AA,24,FALSE)</f>
        <v>12</v>
      </c>
      <c r="AI28" s="208">
        <f>VLOOKUP($AE28,'Carotid Endarterectomy'!$A:$AA,25,FALSE)</f>
        <v>5</v>
      </c>
      <c r="AJ28" s="208">
        <f>VLOOKUP($AE28,'Carotid Endarterectomy'!$A:$AA,26,FALSE)</f>
        <v>5</v>
      </c>
      <c r="AK28" s="208">
        <f>VLOOKUP($AE28,'Carotid Endarterectomy'!$A:$AA,27,FALSE)</f>
        <v>14</v>
      </c>
    </row>
    <row r="29" spans="2:37" ht="15.75" thickBot="1" x14ac:dyDescent="0.3">
      <c r="B29" s="18" t="str">
        <f>B1</f>
        <v>Aneurin Bevan University Health Board</v>
      </c>
      <c r="C29" s="19" t="str">
        <f>VLOOKUP($B29,'Carotid Endarterectomy'!$B:$K,10,FALSE)</f>
        <v>7A6</v>
      </c>
      <c r="D29" s="20">
        <f>VLOOKUP($B29,'Carotid Endarterectomy'!$B:$J,2,FALSE)</f>
        <v>24</v>
      </c>
      <c r="E29" s="20">
        <f>VLOOKUP($B29,'Carotid Endarterectomy'!$B:$K,3,FALSE)</f>
        <v>24</v>
      </c>
      <c r="F29" s="21">
        <f>VLOOKUP($B29,'Carotid Endarterectomy'!$B:$K,4,FALSE)</f>
        <v>0.66666669999999995</v>
      </c>
      <c r="G29" s="21">
        <f>VLOOKUP($B29,'Carotid Endarterectomy'!$B:$K,5,FALSE)</f>
        <v>0.75</v>
      </c>
      <c r="H29" s="21">
        <f>VLOOKUP($B29,'Carotid Endarterectomy'!$B:$K,6,FALSE)</f>
        <v>0.625</v>
      </c>
      <c r="I29" s="22">
        <f>VLOOKUP($B29,'Carotid Endarterectomy'!$B:$K,9,FALSE)/100</f>
        <v>3.4673099999999998E-2</v>
      </c>
      <c r="J29" s="19" t="str">
        <f>VLOOKUP($B29,'Carotid Endarterectomy'!$B:$K,7,FALSE)</f>
        <v>12 (6 - 18)</v>
      </c>
      <c r="K29" s="19" t="str">
        <f>VLOOKUP($B29,'Carotid Endarterectomy'!$B:$K,8,FALSE)</f>
        <v>1 (1 - 3)</v>
      </c>
      <c r="AE29" s="204" t="s">
        <v>98</v>
      </c>
      <c r="AF29" s="211" t="s">
        <v>99</v>
      </c>
      <c r="AG29" s="211">
        <v>28</v>
      </c>
      <c r="AH29" s="208">
        <f>VLOOKUP($AE29,'Carotid Endarterectomy'!$A:$AA,24,FALSE)</f>
        <v>12</v>
      </c>
      <c r="AI29" s="208">
        <f>VLOOKUP($AE29,'Carotid Endarterectomy'!$A:$AA,25,FALSE)</f>
        <v>4</v>
      </c>
      <c r="AJ29" s="208">
        <f>VLOOKUP($AE29,'Carotid Endarterectomy'!$A:$AA,26,FALSE)</f>
        <v>6</v>
      </c>
      <c r="AK29" s="208">
        <f>VLOOKUP($AE29,'Carotid Endarterectomy'!$A:$AA,27,FALSE)</f>
        <v>14</v>
      </c>
    </row>
    <row r="30" spans="2:37" ht="15.75" thickBot="1" x14ac:dyDescent="0.3">
      <c r="B30" s="212" t="s">
        <v>287</v>
      </c>
      <c r="C30" s="212"/>
      <c r="D30" s="54">
        <v>3403</v>
      </c>
      <c r="E30" s="54">
        <v>3038</v>
      </c>
      <c r="F30" s="177">
        <v>0.73</v>
      </c>
      <c r="G30" s="177">
        <v>0.47</v>
      </c>
      <c r="H30" s="57">
        <v>0.57999999999999996</v>
      </c>
      <c r="I30" s="56">
        <v>2.1999999999999999E-2</v>
      </c>
      <c r="J30" s="55" t="s">
        <v>691</v>
      </c>
      <c r="K30" s="55" t="s">
        <v>230</v>
      </c>
      <c r="AE30" s="204" t="s">
        <v>42</v>
      </c>
      <c r="AF30" s="211" t="s">
        <v>43</v>
      </c>
      <c r="AG30" s="211">
        <v>29</v>
      </c>
      <c r="AH30" s="208">
        <f>VLOOKUP($AE30,'Carotid Endarterectomy'!$A:$AA,24,FALSE)</f>
        <v>12</v>
      </c>
      <c r="AI30" s="208">
        <f>VLOOKUP($AE30,'Carotid Endarterectomy'!$A:$AA,25,FALSE)</f>
        <v>4</v>
      </c>
      <c r="AJ30" s="208">
        <f>VLOOKUP($AE30,'Carotid Endarterectomy'!$A:$AA,26,FALSE)</f>
        <v>12</v>
      </c>
      <c r="AK30" s="208">
        <f>VLOOKUP($AE30,'Carotid Endarterectomy'!$A:$AA,27,FALSE)</f>
        <v>14</v>
      </c>
    </row>
    <row r="31" spans="2:37" x14ac:dyDescent="0.25">
      <c r="AE31" s="204" t="s">
        <v>137</v>
      </c>
      <c r="AF31" s="211" t="s">
        <v>138</v>
      </c>
      <c r="AG31" s="211">
        <v>30</v>
      </c>
      <c r="AH31" s="208">
        <f>VLOOKUP($AE31,'Carotid Endarterectomy'!$A:$AA,24,FALSE)</f>
        <v>12</v>
      </c>
      <c r="AI31" s="208">
        <f>VLOOKUP($AE31,'Carotid Endarterectomy'!$A:$AA,25,FALSE)</f>
        <v>3</v>
      </c>
      <c r="AJ31" s="208">
        <f>VLOOKUP($AE31,'Carotid Endarterectomy'!$A:$AA,26,FALSE)</f>
        <v>6</v>
      </c>
      <c r="AK31" s="208">
        <f>VLOOKUP($AE31,'Carotid Endarterectomy'!$A:$AA,27,FALSE)</f>
        <v>14</v>
      </c>
    </row>
    <row r="32" spans="2:37" x14ac:dyDescent="0.25">
      <c r="AE32" s="204" t="s">
        <v>119</v>
      </c>
      <c r="AF32" s="211" t="s">
        <v>120</v>
      </c>
      <c r="AG32" s="211">
        <v>31</v>
      </c>
      <c r="AH32" s="208">
        <f>VLOOKUP($AE32,'Carotid Endarterectomy'!$A:$AA,24,FALSE)</f>
        <v>12</v>
      </c>
      <c r="AI32" s="208">
        <f>VLOOKUP($AE32,'Carotid Endarterectomy'!$A:$AA,25,FALSE)</f>
        <v>3</v>
      </c>
      <c r="AJ32" s="208">
        <f>VLOOKUP($AE32,'Carotid Endarterectomy'!$A:$AA,26,FALSE)</f>
        <v>6</v>
      </c>
      <c r="AK32" s="208">
        <f>VLOOKUP($AE32,'Carotid Endarterectomy'!$A:$AA,27,FALSE)</f>
        <v>14</v>
      </c>
    </row>
    <row r="33" spans="8:37" x14ac:dyDescent="0.25">
      <c r="H33" s="49"/>
      <c r="AE33" s="204" t="s">
        <v>125</v>
      </c>
      <c r="AF33" s="211" t="s">
        <v>126</v>
      </c>
      <c r="AG33" s="211">
        <v>32</v>
      </c>
      <c r="AH33" s="208">
        <f>VLOOKUP($AE33,'Carotid Endarterectomy'!$A:$AA,24,FALSE)</f>
        <v>13</v>
      </c>
      <c r="AI33" s="208">
        <f>VLOOKUP($AE33,'Carotid Endarterectomy'!$A:$AA,25,FALSE)</f>
        <v>5</v>
      </c>
      <c r="AJ33" s="208">
        <f>VLOOKUP($AE33,'Carotid Endarterectomy'!$A:$AA,26,FALSE)</f>
        <v>17</v>
      </c>
      <c r="AK33" s="208">
        <f>VLOOKUP($AE33,'Carotid Endarterectomy'!$A:$AA,27,FALSE)</f>
        <v>14</v>
      </c>
    </row>
    <row r="34" spans="8:37" x14ac:dyDescent="0.25">
      <c r="H34" s="49"/>
      <c r="AE34" s="204" t="s">
        <v>127</v>
      </c>
      <c r="AF34" s="211" t="s">
        <v>128</v>
      </c>
      <c r="AG34" s="211">
        <v>33</v>
      </c>
      <c r="AH34" s="208">
        <f>VLOOKUP($AE34,'Carotid Endarterectomy'!$A:$AA,24,FALSE)</f>
        <v>13</v>
      </c>
      <c r="AI34" s="208">
        <f>VLOOKUP($AE34,'Carotid Endarterectomy'!$A:$AA,25,FALSE)</f>
        <v>3</v>
      </c>
      <c r="AJ34" s="208">
        <f>VLOOKUP($AE34,'Carotid Endarterectomy'!$A:$AA,26,FALSE)</f>
        <v>6</v>
      </c>
      <c r="AK34" s="208">
        <f>VLOOKUP($AE34,'Carotid Endarterectomy'!$A:$AA,27,FALSE)</f>
        <v>14</v>
      </c>
    </row>
    <row r="35" spans="8:37" x14ac:dyDescent="0.25">
      <c r="AE35" s="204" t="s">
        <v>44</v>
      </c>
      <c r="AF35" s="211" t="s">
        <v>45</v>
      </c>
      <c r="AG35" s="211">
        <v>34</v>
      </c>
      <c r="AH35" s="208">
        <f>VLOOKUP($AE35,'Carotid Endarterectomy'!$A:$AA,24,FALSE)</f>
        <v>13</v>
      </c>
      <c r="AI35" s="208">
        <f>VLOOKUP($AE35,'Carotid Endarterectomy'!$A:$AA,25,FALSE)</f>
        <v>3</v>
      </c>
      <c r="AJ35" s="208">
        <f>VLOOKUP($AE35,'Carotid Endarterectomy'!$A:$AA,26,FALSE)</f>
        <v>6</v>
      </c>
      <c r="AK35" s="208">
        <f>VLOOKUP($AE35,'Carotid Endarterectomy'!$A:$AA,27,FALSE)</f>
        <v>14</v>
      </c>
    </row>
    <row r="36" spans="8:37" x14ac:dyDescent="0.25">
      <c r="AE36" s="204" t="s">
        <v>96</v>
      </c>
      <c r="AF36" s="211" t="s">
        <v>360</v>
      </c>
      <c r="AG36" s="211">
        <v>35</v>
      </c>
      <c r="AH36" s="208">
        <f>VLOOKUP($AE36,'Carotid Endarterectomy'!$A:$AA,24,FALSE)</f>
        <v>13</v>
      </c>
      <c r="AI36" s="208">
        <f>VLOOKUP($AE36,'Carotid Endarterectomy'!$A:$AA,25,FALSE)</f>
        <v>3</v>
      </c>
      <c r="AJ36" s="208">
        <f>VLOOKUP($AE36,'Carotid Endarterectomy'!$A:$AA,26,FALSE)</f>
        <v>8</v>
      </c>
      <c r="AK36" s="208">
        <f>VLOOKUP($AE36,'Carotid Endarterectomy'!$A:$AA,27,FALSE)</f>
        <v>14</v>
      </c>
    </row>
    <row r="37" spans="8:37" x14ac:dyDescent="0.25">
      <c r="AE37" s="204" t="s">
        <v>54</v>
      </c>
      <c r="AF37" s="211" t="s">
        <v>55</v>
      </c>
      <c r="AG37" s="211">
        <v>36</v>
      </c>
      <c r="AH37" s="208">
        <f>VLOOKUP($AE37,'Carotid Endarterectomy'!$A:$AA,24,FALSE)</f>
        <v>14</v>
      </c>
      <c r="AI37" s="208">
        <f>VLOOKUP($AE37,'Carotid Endarterectomy'!$A:$AA,25,FALSE)</f>
        <v>7</v>
      </c>
      <c r="AJ37" s="208">
        <f>VLOOKUP($AE37,'Carotid Endarterectomy'!$A:$AA,26,FALSE)</f>
        <v>8</v>
      </c>
      <c r="AK37" s="208">
        <f>VLOOKUP($AE37,'Carotid Endarterectomy'!$A:$AA,27,FALSE)</f>
        <v>14</v>
      </c>
    </row>
    <row r="38" spans="8:37" x14ac:dyDescent="0.25">
      <c r="AE38" s="204" t="s">
        <v>133</v>
      </c>
      <c r="AF38" s="211" t="s">
        <v>134</v>
      </c>
      <c r="AG38" s="211">
        <v>37</v>
      </c>
      <c r="AH38" s="208">
        <f>VLOOKUP($AE38,'Carotid Endarterectomy'!$A:$AA,24,FALSE)</f>
        <v>14</v>
      </c>
      <c r="AI38" s="208">
        <f>VLOOKUP($AE38,'Carotid Endarterectomy'!$A:$AA,25,FALSE)</f>
        <v>7</v>
      </c>
      <c r="AJ38" s="208">
        <f>VLOOKUP($AE38,'Carotid Endarterectomy'!$A:$AA,26,FALSE)</f>
        <v>9</v>
      </c>
      <c r="AK38" s="208">
        <f>VLOOKUP($AE38,'Carotid Endarterectomy'!$A:$AA,27,FALSE)</f>
        <v>14</v>
      </c>
    </row>
    <row r="39" spans="8:37" x14ac:dyDescent="0.25">
      <c r="AE39" s="204" t="s">
        <v>17</v>
      </c>
      <c r="AF39" s="211" t="s">
        <v>504</v>
      </c>
      <c r="AG39" s="211">
        <v>38</v>
      </c>
      <c r="AH39" s="208">
        <f>VLOOKUP($AE39,'Carotid Endarterectomy'!$A:$AA,24,FALSE)</f>
        <v>14</v>
      </c>
      <c r="AI39" s="208">
        <f>VLOOKUP($AE39,'Carotid Endarterectomy'!$A:$AA,25,FALSE)</f>
        <v>6</v>
      </c>
      <c r="AJ39" s="208">
        <f>VLOOKUP($AE39,'Carotid Endarterectomy'!$A:$AA,26,FALSE)</f>
        <v>10</v>
      </c>
      <c r="AK39" s="208">
        <f>VLOOKUP($AE39,'Carotid Endarterectomy'!$A:$AA,27,FALSE)</f>
        <v>14</v>
      </c>
    </row>
    <row r="40" spans="8:37" x14ac:dyDescent="0.25">
      <c r="AE40" s="204" t="s">
        <v>74</v>
      </c>
      <c r="AF40" s="211" t="s">
        <v>355</v>
      </c>
      <c r="AG40" s="211">
        <v>39</v>
      </c>
      <c r="AH40" s="208">
        <f>VLOOKUP($AE40,'Carotid Endarterectomy'!$A:$AA,24,FALSE)</f>
        <v>14</v>
      </c>
      <c r="AI40" s="208">
        <f>VLOOKUP($AE40,'Carotid Endarterectomy'!$A:$AA,25,FALSE)</f>
        <v>5</v>
      </c>
      <c r="AJ40" s="208">
        <f>VLOOKUP($AE40,'Carotid Endarterectomy'!$A:$AA,26,FALSE)</f>
        <v>5</v>
      </c>
      <c r="AK40" s="208">
        <f>VLOOKUP($AE40,'Carotid Endarterectomy'!$A:$AA,27,FALSE)</f>
        <v>14</v>
      </c>
    </row>
    <row r="41" spans="8:37" x14ac:dyDescent="0.25">
      <c r="AE41" s="204" t="s">
        <v>61</v>
      </c>
      <c r="AF41" s="211" t="s">
        <v>62</v>
      </c>
      <c r="AG41" s="211">
        <v>40</v>
      </c>
      <c r="AH41" s="208">
        <f>VLOOKUP($AE41,'Carotid Endarterectomy'!$A:$AA,24,FALSE)</f>
        <v>14</v>
      </c>
      <c r="AI41" s="208">
        <f>VLOOKUP($AE41,'Carotid Endarterectomy'!$A:$AA,25,FALSE)</f>
        <v>5</v>
      </c>
      <c r="AJ41" s="208">
        <f>VLOOKUP($AE41,'Carotid Endarterectomy'!$A:$AA,26,FALSE)</f>
        <v>7</v>
      </c>
      <c r="AK41" s="208">
        <f>VLOOKUP($AE41,'Carotid Endarterectomy'!$A:$AA,27,FALSE)</f>
        <v>14</v>
      </c>
    </row>
    <row r="42" spans="8:37" x14ac:dyDescent="0.25">
      <c r="AE42" s="204" t="s">
        <v>91</v>
      </c>
      <c r="AF42" s="211" t="s">
        <v>92</v>
      </c>
      <c r="AG42" s="211">
        <v>41</v>
      </c>
      <c r="AH42" s="208">
        <f>VLOOKUP($AE42,'Carotid Endarterectomy'!$A:$AA,24,FALSE)</f>
        <v>14</v>
      </c>
      <c r="AI42" s="208">
        <f>VLOOKUP($AE42,'Carotid Endarterectomy'!$A:$AA,25,FALSE)</f>
        <v>4</v>
      </c>
      <c r="AJ42" s="208">
        <f>VLOOKUP($AE42,'Carotid Endarterectomy'!$A:$AA,26,FALSE)</f>
        <v>7</v>
      </c>
      <c r="AK42" s="208">
        <f>VLOOKUP($AE42,'Carotid Endarterectomy'!$A:$AA,27,FALSE)</f>
        <v>14</v>
      </c>
    </row>
    <row r="43" spans="8:37" x14ac:dyDescent="0.25">
      <c r="AE43" s="204" t="s">
        <v>8</v>
      </c>
      <c r="AF43" s="211" t="s">
        <v>9</v>
      </c>
      <c r="AG43" s="211">
        <v>42</v>
      </c>
      <c r="AH43" s="208">
        <f>VLOOKUP($AE43,'Carotid Endarterectomy'!$A:$AA,24,FALSE)</f>
        <v>14</v>
      </c>
      <c r="AI43" s="208">
        <f>VLOOKUP($AE43,'Carotid Endarterectomy'!$A:$AA,25,FALSE)</f>
        <v>4</v>
      </c>
      <c r="AJ43" s="208">
        <f>VLOOKUP($AE43,'Carotid Endarterectomy'!$A:$AA,26,FALSE)</f>
        <v>14</v>
      </c>
      <c r="AK43" s="208">
        <f>VLOOKUP($AE43,'Carotid Endarterectomy'!$A:$AA,27,FALSE)</f>
        <v>14</v>
      </c>
    </row>
    <row r="44" spans="8:37" x14ac:dyDescent="0.25">
      <c r="AE44" s="204" t="s">
        <v>50</v>
      </c>
      <c r="AF44" s="211" t="s">
        <v>51</v>
      </c>
      <c r="AG44" s="211">
        <v>43</v>
      </c>
      <c r="AH44" s="208">
        <f>VLOOKUP($AE44,'Carotid Endarterectomy'!$A:$AA,24,FALSE)</f>
        <v>14</v>
      </c>
      <c r="AI44" s="208">
        <f>VLOOKUP($AE44,'Carotid Endarterectomy'!$A:$AA,25,FALSE)</f>
        <v>3</v>
      </c>
      <c r="AJ44" s="208">
        <f>VLOOKUP($AE44,'Carotid Endarterectomy'!$A:$AA,26,FALSE)</f>
        <v>5</v>
      </c>
      <c r="AK44" s="208">
        <f>VLOOKUP($AE44,'Carotid Endarterectomy'!$A:$AA,27,FALSE)</f>
        <v>14</v>
      </c>
    </row>
    <row r="45" spans="8:37" x14ac:dyDescent="0.25">
      <c r="AE45" s="204" t="s">
        <v>0</v>
      </c>
      <c r="AF45" s="211" t="s">
        <v>1</v>
      </c>
      <c r="AG45" s="211">
        <v>44</v>
      </c>
      <c r="AH45" s="208">
        <f>VLOOKUP($AE45,'Carotid Endarterectomy'!$A:$AA,24,FALSE)</f>
        <v>14</v>
      </c>
      <c r="AI45" s="208">
        <f>VLOOKUP($AE45,'Carotid Endarterectomy'!$A:$AA,25,FALSE)</f>
        <v>2</v>
      </c>
      <c r="AJ45" s="208">
        <f>VLOOKUP($AE45,'Carotid Endarterectomy'!$A:$AA,26,FALSE)</f>
        <v>3</v>
      </c>
      <c r="AK45" s="208">
        <f>VLOOKUP($AE45,'Carotid Endarterectomy'!$A:$AA,27,FALSE)</f>
        <v>14</v>
      </c>
    </row>
    <row r="46" spans="8:37" x14ac:dyDescent="0.25">
      <c r="AE46" s="204" t="s">
        <v>60</v>
      </c>
      <c r="AF46" s="211" t="s">
        <v>169</v>
      </c>
      <c r="AG46" s="211">
        <v>45</v>
      </c>
      <c r="AH46" s="208">
        <f>VLOOKUP($AE46,'Carotid Endarterectomy'!$A:$AA,24,FALSE)</f>
        <v>15</v>
      </c>
      <c r="AI46" s="208">
        <f>VLOOKUP($AE46,'Carotid Endarterectomy'!$A:$AA,25,FALSE)</f>
        <v>7</v>
      </c>
      <c r="AJ46" s="208">
        <f>VLOOKUP($AE46,'Carotid Endarterectomy'!$A:$AA,26,FALSE)</f>
        <v>40</v>
      </c>
      <c r="AK46" s="208">
        <f>VLOOKUP($AE46,'Carotid Endarterectomy'!$A:$AA,27,FALSE)</f>
        <v>14</v>
      </c>
    </row>
    <row r="47" spans="8:37" x14ac:dyDescent="0.25">
      <c r="AE47" s="204" t="s">
        <v>15</v>
      </c>
      <c r="AF47" s="211" t="s">
        <v>16</v>
      </c>
      <c r="AG47" s="211">
        <v>46</v>
      </c>
      <c r="AH47" s="208">
        <f>VLOOKUP($AE47,'Carotid Endarterectomy'!$A:$AA,24,FALSE)</f>
        <v>15</v>
      </c>
      <c r="AI47" s="208">
        <f>VLOOKUP($AE47,'Carotid Endarterectomy'!$A:$AA,25,FALSE)</f>
        <v>3</v>
      </c>
      <c r="AJ47" s="208">
        <f>VLOOKUP($AE47,'Carotid Endarterectomy'!$A:$AA,26,FALSE)</f>
        <v>2</v>
      </c>
      <c r="AK47" s="208">
        <f>VLOOKUP($AE47,'Carotid Endarterectomy'!$A:$AA,27,FALSE)</f>
        <v>14</v>
      </c>
    </row>
    <row r="48" spans="8:37" x14ac:dyDescent="0.25">
      <c r="AE48" s="204" t="s">
        <v>143</v>
      </c>
      <c r="AF48" s="211" t="s">
        <v>144</v>
      </c>
      <c r="AG48" s="211">
        <v>47</v>
      </c>
      <c r="AH48" s="208">
        <f>VLOOKUP($AE48,'Carotid Endarterectomy'!$A:$AA,24,FALSE)</f>
        <v>15</v>
      </c>
      <c r="AI48" s="208">
        <f>VLOOKUP($AE48,'Carotid Endarterectomy'!$A:$AA,25,FALSE)</f>
        <v>3</v>
      </c>
      <c r="AJ48" s="208">
        <f>VLOOKUP($AE48,'Carotid Endarterectomy'!$A:$AA,26,FALSE)</f>
        <v>4</v>
      </c>
      <c r="AK48" s="208">
        <f>VLOOKUP($AE48,'Carotid Endarterectomy'!$A:$AA,27,FALSE)</f>
        <v>14</v>
      </c>
    </row>
    <row r="49" spans="31:37" x14ac:dyDescent="0.25">
      <c r="AE49" s="204" t="s">
        <v>498</v>
      </c>
      <c r="AF49" s="211" t="s">
        <v>499</v>
      </c>
      <c r="AG49" s="211">
        <v>48</v>
      </c>
      <c r="AH49" s="208">
        <f>VLOOKUP($AE49,'Carotid Endarterectomy'!$A:$AA,24,FALSE)</f>
        <v>15</v>
      </c>
      <c r="AI49" s="208">
        <f>VLOOKUP($AE49,'Carotid Endarterectomy'!$A:$AA,25,FALSE)</f>
        <v>3</v>
      </c>
      <c r="AJ49" s="208">
        <f>VLOOKUP($AE49,'Carotid Endarterectomy'!$A:$AA,26,FALSE)</f>
        <v>5</v>
      </c>
      <c r="AK49" s="208">
        <f>VLOOKUP($AE49,'Carotid Endarterectomy'!$A:$AA,27,FALSE)</f>
        <v>14</v>
      </c>
    </row>
    <row r="50" spans="31:37" x14ac:dyDescent="0.25">
      <c r="AE50" s="204" t="s">
        <v>34</v>
      </c>
      <c r="AF50" s="211" t="s">
        <v>357</v>
      </c>
      <c r="AG50" s="211">
        <v>49</v>
      </c>
      <c r="AH50" s="208">
        <f>VLOOKUP($AE50,'Carotid Endarterectomy'!$A:$AA,24,FALSE)</f>
        <v>16</v>
      </c>
      <c r="AI50" s="208">
        <f>VLOOKUP($AE50,'Carotid Endarterectomy'!$A:$AA,25,FALSE)</f>
        <v>6</v>
      </c>
      <c r="AJ50" s="208">
        <f>VLOOKUP($AE50,'Carotid Endarterectomy'!$A:$AA,26,FALSE)</f>
        <v>7</v>
      </c>
      <c r="AK50" s="208">
        <f>VLOOKUP($AE50,'Carotid Endarterectomy'!$A:$AA,27,FALSE)</f>
        <v>14</v>
      </c>
    </row>
    <row r="51" spans="31:37" x14ac:dyDescent="0.25">
      <c r="AE51" s="204" t="s">
        <v>29</v>
      </c>
      <c r="AF51" s="211" t="s">
        <v>170</v>
      </c>
      <c r="AG51" s="211">
        <v>50</v>
      </c>
      <c r="AH51" s="208">
        <f>VLOOKUP($AE51,'Carotid Endarterectomy'!$A:$AA,24,FALSE)</f>
        <v>16</v>
      </c>
      <c r="AI51" s="208">
        <f>VLOOKUP($AE51,'Carotid Endarterectomy'!$A:$AA,25,FALSE)</f>
        <v>5</v>
      </c>
      <c r="AJ51" s="208">
        <f>VLOOKUP($AE51,'Carotid Endarterectomy'!$A:$AA,26,FALSE)</f>
        <v>10</v>
      </c>
      <c r="AK51" s="208">
        <f>VLOOKUP($AE51,'Carotid Endarterectomy'!$A:$AA,27,FALSE)</f>
        <v>14</v>
      </c>
    </row>
    <row r="52" spans="31:37" x14ac:dyDescent="0.25">
      <c r="AE52" s="204" t="s">
        <v>147</v>
      </c>
      <c r="AF52" s="211" t="s">
        <v>148</v>
      </c>
      <c r="AG52" s="211">
        <v>51</v>
      </c>
      <c r="AH52" s="208">
        <f>VLOOKUP($AE52,'Carotid Endarterectomy'!$A:$AA,24,FALSE)</f>
        <v>17</v>
      </c>
      <c r="AI52" s="208">
        <f>VLOOKUP($AE52,'Carotid Endarterectomy'!$A:$AA,25,FALSE)</f>
        <v>9</v>
      </c>
      <c r="AJ52" s="208">
        <f>VLOOKUP($AE52,'Carotid Endarterectomy'!$A:$AA,26,FALSE)</f>
        <v>12</v>
      </c>
      <c r="AK52" s="208">
        <f>VLOOKUP($AE52,'Carotid Endarterectomy'!$A:$AA,27,FALSE)</f>
        <v>14</v>
      </c>
    </row>
    <row r="53" spans="31:37" x14ac:dyDescent="0.25">
      <c r="AE53" s="204" t="s">
        <v>131</v>
      </c>
      <c r="AF53" s="211" t="s">
        <v>132</v>
      </c>
      <c r="AG53" s="211">
        <v>52</v>
      </c>
      <c r="AH53" s="208">
        <f>VLOOKUP($AE53,'Carotid Endarterectomy'!$A:$AA,24,FALSE)</f>
        <v>17</v>
      </c>
      <c r="AI53" s="208">
        <f>VLOOKUP($AE53,'Carotid Endarterectomy'!$A:$AA,25,FALSE)</f>
        <v>9</v>
      </c>
      <c r="AJ53" s="208">
        <f>VLOOKUP($AE53,'Carotid Endarterectomy'!$A:$AA,26,FALSE)</f>
        <v>14</v>
      </c>
      <c r="AK53" s="208">
        <f>VLOOKUP($AE53,'Carotid Endarterectomy'!$A:$AA,27,FALSE)</f>
        <v>14</v>
      </c>
    </row>
    <row r="54" spans="31:37" x14ac:dyDescent="0.25">
      <c r="AE54" s="204" t="s">
        <v>32</v>
      </c>
      <c r="AF54" s="211" t="s">
        <v>33</v>
      </c>
      <c r="AG54" s="211">
        <v>53</v>
      </c>
      <c r="AH54" s="208">
        <f>VLOOKUP($AE54,'Carotid Endarterectomy'!$A:$AA,24,FALSE)</f>
        <v>17</v>
      </c>
      <c r="AI54" s="208">
        <f>VLOOKUP($AE54,'Carotid Endarterectomy'!$A:$AA,25,FALSE)</f>
        <v>6</v>
      </c>
      <c r="AJ54" s="208">
        <f>VLOOKUP($AE54,'Carotid Endarterectomy'!$A:$AA,26,FALSE)</f>
        <v>19</v>
      </c>
      <c r="AK54" s="208">
        <f>VLOOKUP($AE54,'Carotid Endarterectomy'!$A:$AA,27,FALSE)</f>
        <v>14</v>
      </c>
    </row>
    <row r="55" spans="31:37" x14ac:dyDescent="0.25">
      <c r="AE55" s="204" t="s">
        <v>505</v>
      </c>
      <c r="AF55" s="211" t="s">
        <v>506</v>
      </c>
      <c r="AG55" s="211">
        <v>54</v>
      </c>
      <c r="AH55" s="208" t="e">
        <f>VLOOKUP($AE55,'Carotid Endarterectomy'!$A:$AA,24,FALSE)</f>
        <v>#N/A</v>
      </c>
      <c r="AI55" s="208" t="e">
        <f>VLOOKUP($AE55,'Carotid Endarterectomy'!$A:$AA,25,FALSE)</f>
        <v>#N/A</v>
      </c>
      <c r="AJ55" s="208" t="e">
        <f>VLOOKUP($AE55,'Carotid Endarterectomy'!$A:$AA,26,FALSE)</f>
        <v>#N/A</v>
      </c>
      <c r="AK55" s="208" t="e">
        <f>VLOOKUP($AE55,'Carotid Endarterectomy'!$A:$AA,27,FALSE)</f>
        <v>#N/A</v>
      </c>
    </row>
    <row r="56" spans="31:37" x14ac:dyDescent="0.25">
      <c r="AE56" s="204" t="s">
        <v>58</v>
      </c>
      <c r="AF56" s="211" t="s">
        <v>59</v>
      </c>
      <c r="AG56" s="211">
        <v>55</v>
      </c>
      <c r="AH56" s="208">
        <f>VLOOKUP($AE56,'Carotid Endarterectomy'!$A:$AA,24,FALSE)</f>
        <v>18</v>
      </c>
      <c r="AI56" s="208">
        <f>VLOOKUP($AE56,'Carotid Endarterectomy'!$A:$AA,25,FALSE)</f>
        <v>10</v>
      </c>
      <c r="AJ56" s="208">
        <f>VLOOKUP($AE56,'Carotid Endarterectomy'!$A:$AA,26,FALSE)</f>
        <v>17</v>
      </c>
      <c r="AK56" s="208">
        <f>VLOOKUP($AE56,'Carotid Endarterectomy'!$A:$AA,27,FALSE)</f>
        <v>14</v>
      </c>
    </row>
    <row r="57" spans="31:37" x14ac:dyDescent="0.25">
      <c r="AE57" s="204" t="s">
        <v>35</v>
      </c>
      <c r="AF57" s="211" t="s">
        <v>353</v>
      </c>
      <c r="AG57" s="211">
        <v>56</v>
      </c>
      <c r="AH57" s="208">
        <f>VLOOKUP($AE57,'Carotid Endarterectomy'!$A:$AA,24,FALSE)</f>
        <v>18</v>
      </c>
      <c r="AI57" s="208">
        <f>VLOOKUP($AE57,'Carotid Endarterectomy'!$A:$AA,25,FALSE)</f>
        <v>9</v>
      </c>
      <c r="AJ57" s="208">
        <f>VLOOKUP($AE57,'Carotid Endarterectomy'!$A:$AA,26,FALSE)</f>
        <v>21</v>
      </c>
      <c r="AK57" s="208">
        <f>VLOOKUP($AE57,'Carotid Endarterectomy'!$A:$AA,27,FALSE)</f>
        <v>14</v>
      </c>
    </row>
    <row r="58" spans="31:37" x14ac:dyDescent="0.25">
      <c r="AE58" s="204" t="s">
        <v>19</v>
      </c>
      <c r="AF58" s="211" t="s">
        <v>20</v>
      </c>
      <c r="AG58" s="211">
        <v>57</v>
      </c>
      <c r="AH58" s="208">
        <f>VLOOKUP($AE58,'Carotid Endarterectomy'!$A:$AA,24,FALSE)</f>
        <v>18</v>
      </c>
      <c r="AI58" s="208">
        <f>VLOOKUP($AE58,'Carotid Endarterectomy'!$A:$AA,25,FALSE)</f>
        <v>8</v>
      </c>
      <c r="AJ58" s="208">
        <f>VLOOKUP($AE58,'Carotid Endarterectomy'!$A:$AA,26,FALSE)</f>
        <v>10</v>
      </c>
      <c r="AK58" s="208">
        <f>VLOOKUP($AE58,'Carotid Endarterectomy'!$A:$AA,27,FALSE)</f>
        <v>14</v>
      </c>
    </row>
    <row r="59" spans="31:37" x14ac:dyDescent="0.25">
      <c r="AE59" s="204" t="s">
        <v>56</v>
      </c>
      <c r="AF59" s="211" t="s">
        <v>57</v>
      </c>
      <c r="AG59" s="211">
        <v>58</v>
      </c>
      <c r="AH59" s="208">
        <f>VLOOKUP($AE59,'Carotid Endarterectomy'!$A:$AA,24,FALSE)</f>
        <v>18</v>
      </c>
      <c r="AI59" s="208">
        <f>VLOOKUP($AE59,'Carotid Endarterectomy'!$A:$AA,25,FALSE)</f>
        <v>4</v>
      </c>
      <c r="AJ59" s="208">
        <f>VLOOKUP($AE59,'Carotid Endarterectomy'!$A:$AA,26,FALSE)</f>
        <v>14</v>
      </c>
      <c r="AK59" s="208">
        <f>VLOOKUP($AE59,'Carotid Endarterectomy'!$A:$AA,27,FALSE)</f>
        <v>14</v>
      </c>
    </row>
    <row r="60" spans="31:37" x14ac:dyDescent="0.25">
      <c r="AE60" s="204" t="s">
        <v>107</v>
      </c>
      <c r="AF60" s="211" t="s">
        <v>108</v>
      </c>
      <c r="AG60" s="211">
        <v>59</v>
      </c>
      <c r="AH60" s="208">
        <f>VLOOKUP($AE60,'Carotid Endarterectomy'!$A:$AA,24,FALSE)</f>
        <v>19</v>
      </c>
      <c r="AI60" s="208">
        <f>VLOOKUP($AE60,'Carotid Endarterectomy'!$A:$AA,25,FALSE)</f>
        <v>9</v>
      </c>
      <c r="AJ60" s="208">
        <f>VLOOKUP($AE60,'Carotid Endarterectomy'!$A:$AA,26,FALSE)</f>
        <v>19</v>
      </c>
      <c r="AK60" s="208">
        <f>VLOOKUP($AE60,'Carotid Endarterectomy'!$A:$AA,27,FALSE)</f>
        <v>14</v>
      </c>
    </row>
    <row r="61" spans="31:37" x14ac:dyDescent="0.25">
      <c r="AE61" s="204" t="s">
        <v>135</v>
      </c>
      <c r="AF61" s="211" t="s">
        <v>136</v>
      </c>
      <c r="AG61" s="211">
        <v>60</v>
      </c>
      <c r="AH61" s="208">
        <f>VLOOKUP($AE61,'Carotid Endarterectomy'!$A:$AA,24,FALSE)</f>
        <v>19</v>
      </c>
      <c r="AI61" s="208">
        <f>VLOOKUP($AE61,'Carotid Endarterectomy'!$A:$AA,25,FALSE)</f>
        <v>8</v>
      </c>
      <c r="AJ61" s="208">
        <f>VLOOKUP($AE61,'Carotid Endarterectomy'!$A:$AA,26,FALSE)</f>
        <v>4</v>
      </c>
      <c r="AK61" s="208">
        <f>VLOOKUP($AE61,'Carotid Endarterectomy'!$A:$AA,27,FALSE)</f>
        <v>14</v>
      </c>
    </row>
    <row r="62" spans="31:37" x14ac:dyDescent="0.25">
      <c r="AE62" s="204" t="s">
        <v>513</v>
      </c>
      <c r="AF62" s="211" t="s">
        <v>514</v>
      </c>
      <c r="AG62" s="211">
        <v>61</v>
      </c>
      <c r="AH62" s="208">
        <f>VLOOKUP($AE62,'Carotid Endarterectomy'!$A:$AA,24,FALSE)</f>
        <v>20</v>
      </c>
      <c r="AI62" s="208">
        <f>VLOOKUP($AE62,'Carotid Endarterectomy'!$A:$AA,25,FALSE)</f>
        <v>10</v>
      </c>
      <c r="AJ62" s="208">
        <f>VLOOKUP($AE62,'Carotid Endarterectomy'!$A:$AA,26,FALSE)</f>
        <v>9</v>
      </c>
      <c r="AK62" s="208">
        <f>VLOOKUP($AE62,'Carotid Endarterectomy'!$A:$AA,27,FALSE)</f>
        <v>14</v>
      </c>
    </row>
    <row r="63" spans="31:37" x14ac:dyDescent="0.25">
      <c r="AE63" s="204" t="s">
        <v>123</v>
      </c>
      <c r="AF63" s="211" t="s">
        <v>124</v>
      </c>
      <c r="AG63" s="211">
        <v>62</v>
      </c>
      <c r="AH63" s="208">
        <f>VLOOKUP($AE63,'Carotid Endarterectomy'!$A:$AA,24,FALSE)</f>
        <v>20</v>
      </c>
      <c r="AI63" s="208">
        <f>VLOOKUP($AE63,'Carotid Endarterectomy'!$A:$AA,25,FALSE)</f>
        <v>8</v>
      </c>
      <c r="AJ63" s="208">
        <f>VLOOKUP($AE63,'Carotid Endarterectomy'!$A:$AA,26,FALSE)</f>
        <v>15</v>
      </c>
      <c r="AK63" s="208">
        <f>VLOOKUP($AE63,'Carotid Endarterectomy'!$A:$AA,27,FALSE)</f>
        <v>14</v>
      </c>
    </row>
    <row r="64" spans="31:37" x14ac:dyDescent="0.25">
      <c r="AE64" s="204" t="s">
        <v>610</v>
      </c>
      <c r="AF64" s="211" t="s">
        <v>611</v>
      </c>
      <c r="AG64" s="211">
        <v>63</v>
      </c>
      <c r="AH64" s="208">
        <f>VLOOKUP($AE64,'Carotid Endarterectomy'!$A:$AA,24,FALSE)</f>
        <v>20</v>
      </c>
      <c r="AI64" s="208">
        <f>VLOOKUP($AE64,'Carotid Endarterectomy'!$A:$AA,25,FALSE)</f>
        <v>7</v>
      </c>
      <c r="AJ64" s="208">
        <f>VLOOKUP($AE64,'Carotid Endarterectomy'!$A:$AA,26,FALSE)</f>
        <v>14</v>
      </c>
      <c r="AK64" s="208">
        <f>VLOOKUP($AE64,'Carotid Endarterectomy'!$A:$AA,27,FALSE)</f>
        <v>14</v>
      </c>
    </row>
    <row r="65" spans="31:37" x14ac:dyDescent="0.25">
      <c r="AE65" s="204" t="s">
        <v>72</v>
      </c>
      <c r="AF65" s="211" t="s">
        <v>73</v>
      </c>
      <c r="AG65" s="211">
        <v>64</v>
      </c>
      <c r="AH65" s="208">
        <f>VLOOKUP($AE65,'Carotid Endarterectomy'!$A:$AA,24,FALSE)</f>
        <v>22</v>
      </c>
      <c r="AI65" s="208">
        <f>VLOOKUP($AE65,'Carotid Endarterectomy'!$A:$AA,25,FALSE)</f>
        <v>12</v>
      </c>
      <c r="AJ65" s="208">
        <f>VLOOKUP($AE65,'Carotid Endarterectomy'!$A:$AA,26,FALSE)</f>
        <v>26</v>
      </c>
      <c r="AK65" s="208">
        <f>VLOOKUP($AE65,'Carotid Endarterectomy'!$A:$AA,27,FALSE)</f>
        <v>14</v>
      </c>
    </row>
    <row r="66" spans="31:37" x14ac:dyDescent="0.25">
      <c r="AE66" s="204" t="s">
        <v>93</v>
      </c>
      <c r="AF66" s="211" t="s">
        <v>94</v>
      </c>
      <c r="AG66" s="211">
        <v>65</v>
      </c>
      <c r="AH66" s="208">
        <f>VLOOKUP($AE66,'Carotid Endarterectomy'!$A:$AA,24,FALSE)</f>
        <v>22</v>
      </c>
      <c r="AI66" s="208">
        <f>VLOOKUP($AE66,'Carotid Endarterectomy'!$A:$AA,25,FALSE)</f>
        <v>9</v>
      </c>
      <c r="AJ66" s="208">
        <f>VLOOKUP($AE66,'Carotid Endarterectomy'!$A:$AA,26,FALSE)</f>
        <v>20</v>
      </c>
      <c r="AK66" s="208">
        <f>VLOOKUP($AE66,'Carotid Endarterectomy'!$A:$AA,27,FALSE)</f>
        <v>14</v>
      </c>
    </row>
    <row r="67" spans="31:37" x14ac:dyDescent="0.25">
      <c r="AE67" s="204" t="s">
        <v>46</v>
      </c>
      <c r="AF67" s="211" t="s">
        <v>47</v>
      </c>
      <c r="AG67" s="211">
        <v>66</v>
      </c>
      <c r="AH67" s="208">
        <f>VLOOKUP($AE67,'Carotid Endarterectomy'!$A:$AA,24,FALSE)</f>
        <v>23</v>
      </c>
      <c r="AI67" s="208">
        <f>VLOOKUP($AE67,'Carotid Endarterectomy'!$A:$AA,25,FALSE)</f>
        <v>9</v>
      </c>
      <c r="AJ67" s="208">
        <f>VLOOKUP($AE67,'Carotid Endarterectomy'!$A:$AA,26,FALSE)</f>
        <v>17</v>
      </c>
      <c r="AK67" s="208">
        <f>VLOOKUP($AE67,'Carotid Endarterectomy'!$A:$AA,27,FALSE)</f>
        <v>14</v>
      </c>
    </row>
    <row r="68" spans="31:37" x14ac:dyDescent="0.25">
      <c r="AE68" s="204" t="s">
        <v>40</v>
      </c>
      <c r="AF68" s="211" t="s">
        <v>41</v>
      </c>
      <c r="AG68" s="211">
        <v>67</v>
      </c>
      <c r="AH68" s="208">
        <f>VLOOKUP($AE68,'Carotid Endarterectomy'!$A:$AA,24,FALSE)</f>
        <v>25</v>
      </c>
      <c r="AI68" s="208">
        <f>VLOOKUP($AE68,'Carotid Endarterectomy'!$A:$AA,25,FALSE)</f>
        <v>11</v>
      </c>
      <c r="AJ68" s="208">
        <f>VLOOKUP($AE68,'Carotid Endarterectomy'!$A:$AA,26,FALSE)</f>
        <v>15</v>
      </c>
      <c r="AK68" s="208">
        <f>VLOOKUP($AE68,'Carotid Endarterectomy'!$A:$AA,27,FALSE)</f>
        <v>14</v>
      </c>
    </row>
    <row r="69" spans="31:37" x14ac:dyDescent="0.25">
      <c r="AE69" s="204"/>
      <c r="AF69" s="211"/>
      <c r="AG69" s="211"/>
      <c r="AH69" s="208"/>
      <c r="AI69" s="208"/>
      <c r="AJ69" s="208"/>
      <c r="AK69" s="208"/>
    </row>
    <row r="70" spans="31:37" x14ac:dyDescent="0.25">
      <c r="AG70" s="211"/>
    </row>
  </sheetData>
  <mergeCells count="2">
    <mergeCell ref="B30:C30"/>
    <mergeCell ref="F2:I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'Carotid Endarterectomy'!$G$1:$H$1</xm:f>
          </x14:formula1>
          <xm:sqref>F2</xm:sqref>
        </x14:dataValidation>
        <x14:dataValidation type="list" allowBlank="1" showInputMessage="1" showErrorMessage="1">
          <x14:formula1>
            <xm:f>'Carotid Endarterectomy'!$B$2:$B$71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4" workbookViewId="0">
      <selection activeCell="C1" sqref="C1:C71"/>
    </sheetView>
  </sheetViews>
  <sheetFormatPr defaultRowHeight="15" x14ac:dyDescent="0.25"/>
  <cols>
    <col min="1" max="1" width="10.42578125" bestFit="1" customWidth="1"/>
    <col min="2" max="2" width="61" bestFit="1" customWidth="1"/>
    <col min="3" max="3" width="13.140625" customWidth="1"/>
    <col min="4" max="4" width="15.5703125" customWidth="1"/>
    <col min="5" max="5" width="14.42578125" customWidth="1"/>
    <col min="6" max="6" width="14" customWidth="1"/>
    <col min="7" max="7" width="16.140625" customWidth="1"/>
    <col min="8" max="8" width="13.85546875" customWidth="1"/>
    <col min="9" max="9" width="14.28515625" style="59" customWidth="1"/>
    <col min="10" max="10" width="14.28515625" customWidth="1"/>
  </cols>
  <sheetData>
    <row r="1" spans="1:11" ht="60" x14ac:dyDescent="0.25">
      <c r="A1" s="79" t="s">
        <v>566</v>
      </c>
      <c r="B1" s="79" t="s">
        <v>149</v>
      </c>
      <c r="C1" s="164" t="s">
        <v>906</v>
      </c>
      <c r="D1" s="165" t="s">
        <v>907</v>
      </c>
      <c r="E1" s="165" t="s">
        <v>908</v>
      </c>
      <c r="F1" s="165" t="s">
        <v>909</v>
      </c>
      <c r="G1" s="165" t="s">
        <v>910</v>
      </c>
      <c r="H1" s="165" t="s">
        <v>911</v>
      </c>
      <c r="I1" s="166" t="s">
        <v>912</v>
      </c>
      <c r="J1" s="167" t="s">
        <v>913</v>
      </c>
      <c r="K1" s="79" t="s">
        <v>566</v>
      </c>
    </row>
    <row r="2" spans="1:11" x14ac:dyDescent="0.25">
      <c r="A2" t="s">
        <v>6</v>
      </c>
      <c r="B2" t="s">
        <v>7</v>
      </c>
      <c r="C2" s="119">
        <v>198</v>
      </c>
      <c r="D2" s="120">
        <v>52</v>
      </c>
      <c r="E2" s="120">
        <v>58</v>
      </c>
      <c r="F2" s="120">
        <v>88</v>
      </c>
      <c r="G2" s="168" t="s">
        <v>204</v>
      </c>
      <c r="H2" s="168">
        <v>86</v>
      </c>
      <c r="I2" s="169">
        <v>0.14000000000000001</v>
      </c>
      <c r="J2" s="169">
        <v>3.2000000000000001E-2</v>
      </c>
      <c r="K2" t="str">
        <f>A2</f>
        <v>7A6</v>
      </c>
    </row>
    <row r="3" spans="1:11" x14ac:dyDescent="0.25">
      <c r="A3" t="s">
        <v>35</v>
      </c>
      <c r="B3" t="s">
        <v>353</v>
      </c>
      <c r="C3" s="124">
        <v>86</v>
      </c>
      <c r="D3" s="125">
        <v>27</v>
      </c>
      <c r="E3" s="125">
        <v>21</v>
      </c>
      <c r="F3" s="125">
        <v>38</v>
      </c>
      <c r="G3" s="170" t="s">
        <v>914</v>
      </c>
      <c r="H3" s="170">
        <v>35</v>
      </c>
      <c r="I3" s="171">
        <v>0.2</v>
      </c>
      <c r="J3" s="171">
        <v>7.2999999999999995E-2</v>
      </c>
      <c r="K3" t="str">
        <f t="shared" ref="K3:K66" si="0">A3</f>
        <v>RF4</v>
      </c>
    </row>
    <row r="4" spans="1:11" x14ac:dyDescent="0.25">
      <c r="A4" t="s">
        <v>10</v>
      </c>
      <c r="B4" t="s">
        <v>11</v>
      </c>
      <c r="C4" s="124">
        <v>148</v>
      </c>
      <c r="D4" s="125">
        <v>84</v>
      </c>
      <c r="E4" s="125">
        <v>39</v>
      </c>
      <c r="F4" s="125">
        <v>25</v>
      </c>
      <c r="G4" s="170" t="s">
        <v>915</v>
      </c>
      <c r="H4" s="170">
        <v>22</v>
      </c>
      <c r="I4" s="171">
        <v>0.27</v>
      </c>
      <c r="J4" s="171">
        <v>3.2000000000000001E-2</v>
      </c>
      <c r="K4" t="str">
        <f t="shared" si="0"/>
        <v>R1H</v>
      </c>
    </row>
    <row r="5" spans="1:11" x14ac:dyDescent="0.25">
      <c r="A5" t="s">
        <v>610</v>
      </c>
      <c r="B5" t="s">
        <v>611</v>
      </c>
      <c r="C5" s="124">
        <v>223</v>
      </c>
      <c r="D5" s="125">
        <v>59</v>
      </c>
      <c r="E5" s="125">
        <v>69</v>
      </c>
      <c r="F5" s="125">
        <v>95</v>
      </c>
      <c r="G5" s="170" t="s">
        <v>916</v>
      </c>
      <c r="H5" s="170">
        <v>92</v>
      </c>
      <c r="I5" s="171">
        <v>0.1</v>
      </c>
      <c r="J5" s="171">
        <v>2.7E-2</v>
      </c>
      <c r="K5" t="str">
        <f t="shared" si="0"/>
        <v>RC9</v>
      </c>
    </row>
    <row r="6" spans="1:11" x14ac:dyDescent="0.25">
      <c r="A6" t="s">
        <v>147</v>
      </c>
      <c r="B6" t="s">
        <v>148</v>
      </c>
      <c r="C6" s="124">
        <v>429</v>
      </c>
      <c r="D6" s="125">
        <v>142</v>
      </c>
      <c r="E6" s="125">
        <v>137</v>
      </c>
      <c r="F6" s="125">
        <v>150</v>
      </c>
      <c r="G6" s="170" t="s">
        <v>917</v>
      </c>
      <c r="H6" s="170">
        <v>148</v>
      </c>
      <c r="I6" s="171">
        <v>7.0000000000000007E-2</v>
      </c>
      <c r="J6" s="171">
        <v>1.7000000000000001E-2</v>
      </c>
      <c r="K6" t="str">
        <f t="shared" si="0"/>
        <v>ZT001</v>
      </c>
    </row>
    <row r="7" spans="1:11" x14ac:dyDescent="0.25">
      <c r="A7" t="s">
        <v>0</v>
      </c>
      <c r="B7" t="s">
        <v>1</v>
      </c>
      <c r="C7" s="124">
        <v>281</v>
      </c>
      <c r="D7" s="125">
        <v>89</v>
      </c>
      <c r="E7" s="125">
        <v>95</v>
      </c>
      <c r="F7" s="125">
        <v>97</v>
      </c>
      <c r="G7" s="170" t="s">
        <v>770</v>
      </c>
      <c r="H7" s="170">
        <v>91</v>
      </c>
      <c r="I7" s="171">
        <v>0.11</v>
      </c>
      <c r="J7" s="171">
        <v>4.2000000000000003E-2</v>
      </c>
      <c r="K7" t="str">
        <f t="shared" si="0"/>
        <v>7A1</v>
      </c>
    </row>
    <row r="8" spans="1:11" x14ac:dyDescent="0.25">
      <c r="A8" t="s">
        <v>15</v>
      </c>
      <c r="B8" t="s">
        <v>16</v>
      </c>
      <c r="C8" s="124">
        <v>174</v>
      </c>
      <c r="D8" s="125">
        <v>91</v>
      </c>
      <c r="E8" s="125">
        <v>46</v>
      </c>
      <c r="F8" s="125">
        <v>37</v>
      </c>
      <c r="G8" s="170" t="s">
        <v>918</v>
      </c>
      <c r="H8" s="170">
        <v>34</v>
      </c>
      <c r="I8" s="171">
        <v>0.21</v>
      </c>
      <c r="J8" s="171">
        <v>4.7E-2</v>
      </c>
      <c r="K8" t="str">
        <f t="shared" si="0"/>
        <v>RAE</v>
      </c>
    </row>
    <row r="9" spans="1:11" x14ac:dyDescent="0.25">
      <c r="A9" t="s">
        <v>40</v>
      </c>
      <c r="B9" t="s">
        <v>41</v>
      </c>
      <c r="C9" s="124">
        <v>386</v>
      </c>
      <c r="D9" s="125">
        <v>144</v>
      </c>
      <c r="E9" s="125">
        <v>104</v>
      </c>
      <c r="F9" s="125">
        <v>138</v>
      </c>
      <c r="G9" s="170" t="s">
        <v>919</v>
      </c>
      <c r="H9" s="170">
        <v>135</v>
      </c>
      <c r="I9" s="171">
        <v>0.1</v>
      </c>
      <c r="J9" s="171">
        <v>1.0999999999999999E-2</v>
      </c>
      <c r="K9" t="str">
        <f t="shared" si="0"/>
        <v>RGT</v>
      </c>
    </row>
    <row r="10" spans="1:11" x14ac:dyDescent="0.25">
      <c r="A10" t="s">
        <v>3</v>
      </c>
      <c r="B10" t="s">
        <v>4</v>
      </c>
      <c r="C10" s="124">
        <v>196</v>
      </c>
      <c r="D10" s="125">
        <v>70</v>
      </c>
      <c r="E10" s="125">
        <v>71</v>
      </c>
      <c r="F10" s="125">
        <v>55</v>
      </c>
      <c r="G10" s="170" t="s">
        <v>920</v>
      </c>
      <c r="H10" s="170">
        <v>55</v>
      </c>
      <c r="I10" s="171">
        <v>0.18</v>
      </c>
      <c r="J10" s="171">
        <v>2.1999999999999999E-2</v>
      </c>
      <c r="K10" t="str">
        <f t="shared" si="0"/>
        <v>7A4</v>
      </c>
    </row>
    <row r="11" spans="1:11" x14ac:dyDescent="0.25">
      <c r="A11" t="s">
        <v>56</v>
      </c>
      <c r="B11" t="s">
        <v>57</v>
      </c>
      <c r="C11" s="124">
        <v>386</v>
      </c>
      <c r="D11" s="125">
        <v>136</v>
      </c>
      <c r="E11" s="125">
        <v>104</v>
      </c>
      <c r="F11" s="125">
        <v>146</v>
      </c>
      <c r="G11" s="170" t="s">
        <v>921</v>
      </c>
      <c r="H11" s="170">
        <v>140</v>
      </c>
      <c r="I11" s="171">
        <v>0.05</v>
      </c>
      <c r="J11" s="171">
        <v>3.9E-2</v>
      </c>
      <c r="K11" t="str">
        <f t="shared" si="0"/>
        <v>RJR</v>
      </c>
    </row>
    <row r="12" spans="1:11" x14ac:dyDescent="0.25">
      <c r="A12" t="s">
        <v>74</v>
      </c>
      <c r="B12" t="s">
        <v>355</v>
      </c>
      <c r="C12" s="124">
        <v>98</v>
      </c>
      <c r="D12" s="125">
        <v>52</v>
      </c>
      <c r="E12" s="125">
        <v>37</v>
      </c>
      <c r="F12" s="125" t="s">
        <v>369</v>
      </c>
      <c r="G12" s="170" t="s">
        <v>284</v>
      </c>
      <c r="H12" s="170" t="s">
        <v>284</v>
      </c>
      <c r="I12" s="171" t="s">
        <v>284</v>
      </c>
      <c r="J12" s="171">
        <v>1.7000000000000001E-2</v>
      </c>
      <c r="K12" t="str">
        <f t="shared" si="0"/>
        <v>RP5</v>
      </c>
    </row>
    <row r="13" spans="1:11" x14ac:dyDescent="0.25">
      <c r="A13" t="s">
        <v>113</v>
      </c>
      <c r="B13" t="s">
        <v>114</v>
      </c>
      <c r="C13" s="124">
        <v>72</v>
      </c>
      <c r="D13" s="125">
        <v>24</v>
      </c>
      <c r="E13" s="125" t="s">
        <v>369</v>
      </c>
      <c r="F13" s="125">
        <v>41</v>
      </c>
      <c r="G13" s="170" t="s">
        <v>922</v>
      </c>
      <c r="H13" s="170">
        <v>41</v>
      </c>
      <c r="I13" s="171">
        <v>0.12</v>
      </c>
      <c r="J13" s="171">
        <v>1.0999999999999999E-2</v>
      </c>
      <c r="K13" t="str">
        <f t="shared" si="0"/>
        <v>RWH</v>
      </c>
    </row>
    <row r="14" spans="1:11" x14ac:dyDescent="0.25">
      <c r="A14" t="s">
        <v>102</v>
      </c>
      <c r="B14" t="s">
        <v>103</v>
      </c>
      <c r="C14" s="124">
        <v>128</v>
      </c>
      <c r="D14" s="125">
        <v>49</v>
      </c>
      <c r="E14" s="125">
        <v>25</v>
      </c>
      <c r="F14" s="125">
        <v>54</v>
      </c>
      <c r="G14" s="170" t="s">
        <v>923</v>
      </c>
      <c r="H14" s="170">
        <v>52</v>
      </c>
      <c r="I14" s="171">
        <v>0.1</v>
      </c>
      <c r="J14" s="171">
        <v>3.4000000000000002E-2</v>
      </c>
      <c r="K14" t="str">
        <f t="shared" si="0"/>
        <v>RVV</v>
      </c>
    </row>
    <row r="15" spans="1:11" x14ac:dyDescent="0.25">
      <c r="A15" t="s">
        <v>125</v>
      </c>
      <c r="B15" t="s">
        <v>126</v>
      </c>
      <c r="C15" s="124">
        <v>445</v>
      </c>
      <c r="D15" s="125">
        <v>164</v>
      </c>
      <c r="E15" s="125">
        <v>134</v>
      </c>
      <c r="F15" s="125">
        <v>147</v>
      </c>
      <c r="G15" s="170" t="s">
        <v>246</v>
      </c>
      <c r="H15" s="170">
        <v>142</v>
      </c>
      <c r="I15" s="171">
        <v>0.21</v>
      </c>
      <c r="J15" s="171">
        <v>3.1E-2</v>
      </c>
      <c r="K15" t="str">
        <f t="shared" si="0"/>
        <v>RXR</v>
      </c>
    </row>
    <row r="16" spans="1:11" x14ac:dyDescent="0.25">
      <c r="A16" t="s">
        <v>29</v>
      </c>
      <c r="B16" t="s">
        <v>170</v>
      </c>
      <c r="C16" s="124">
        <v>295</v>
      </c>
      <c r="D16" s="125">
        <v>124</v>
      </c>
      <c r="E16" s="125">
        <v>84</v>
      </c>
      <c r="F16" s="125">
        <v>87</v>
      </c>
      <c r="G16" s="170" t="s">
        <v>924</v>
      </c>
      <c r="H16" s="170">
        <v>84</v>
      </c>
      <c r="I16" s="171">
        <v>0.19</v>
      </c>
      <c r="J16" s="171">
        <v>3.4000000000000002E-2</v>
      </c>
      <c r="K16" t="str">
        <f t="shared" si="0"/>
        <v>RDE</v>
      </c>
    </row>
    <row r="17" spans="1:11" x14ac:dyDescent="0.25">
      <c r="A17" t="s">
        <v>30</v>
      </c>
      <c r="B17" t="s">
        <v>31</v>
      </c>
      <c r="C17" s="124">
        <v>383</v>
      </c>
      <c r="D17" s="125">
        <v>166</v>
      </c>
      <c r="E17" s="125">
        <v>158</v>
      </c>
      <c r="F17" s="125">
        <v>59</v>
      </c>
      <c r="G17" s="170" t="s">
        <v>770</v>
      </c>
      <c r="H17" s="170">
        <v>56</v>
      </c>
      <c r="I17" s="171">
        <v>0.05</v>
      </c>
      <c r="J17" s="171">
        <v>2.1000000000000001E-2</v>
      </c>
      <c r="K17" t="str">
        <f t="shared" si="0"/>
        <v>RDU</v>
      </c>
    </row>
    <row r="18" spans="1:11" x14ac:dyDescent="0.25">
      <c r="A18" t="s">
        <v>93</v>
      </c>
      <c r="B18" t="s">
        <v>94</v>
      </c>
      <c r="C18" s="124">
        <v>252</v>
      </c>
      <c r="D18" s="125">
        <v>80</v>
      </c>
      <c r="E18" s="125">
        <v>85</v>
      </c>
      <c r="F18" s="125">
        <v>87</v>
      </c>
      <c r="G18" s="170" t="s">
        <v>207</v>
      </c>
      <c r="H18" s="170">
        <v>84</v>
      </c>
      <c r="I18" s="171">
        <v>0.08</v>
      </c>
      <c r="J18" s="171">
        <v>1.9E-2</v>
      </c>
      <c r="K18" t="str">
        <f t="shared" si="0"/>
        <v>RTE</v>
      </c>
    </row>
    <row r="19" spans="1:11" x14ac:dyDescent="0.25">
      <c r="A19" t="s">
        <v>50</v>
      </c>
      <c r="B19" t="s">
        <v>51</v>
      </c>
      <c r="C19" s="124">
        <v>476</v>
      </c>
      <c r="D19" s="125">
        <v>172</v>
      </c>
      <c r="E19" s="125">
        <v>141</v>
      </c>
      <c r="F19" s="125">
        <v>163</v>
      </c>
      <c r="G19" s="170" t="s">
        <v>658</v>
      </c>
      <c r="H19" s="170">
        <v>160</v>
      </c>
      <c r="I19" s="171">
        <v>0.11</v>
      </c>
      <c r="J19" s="171">
        <v>1.9E-2</v>
      </c>
      <c r="K19" t="str">
        <f t="shared" si="0"/>
        <v>RJ1</v>
      </c>
    </row>
    <row r="20" spans="1:11" x14ac:dyDescent="0.25">
      <c r="A20" t="s">
        <v>106</v>
      </c>
      <c r="B20" t="s">
        <v>356</v>
      </c>
      <c r="C20" s="124">
        <v>388</v>
      </c>
      <c r="D20" s="125">
        <v>149</v>
      </c>
      <c r="E20" s="125">
        <v>107</v>
      </c>
      <c r="F20" s="125">
        <v>132</v>
      </c>
      <c r="G20" s="170" t="s">
        <v>209</v>
      </c>
      <c r="H20" s="170">
        <v>129</v>
      </c>
      <c r="I20" s="171">
        <v>0.17</v>
      </c>
      <c r="J20" s="171">
        <v>2.3E-2</v>
      </c>
      <c r="K20" t="str">
        <f t="shared" si="0"/>
        <v>RWA</v>
      </c>
    </row>
    <row r="21" spans="1:11" x14ac:dyDescent="0.25">
      <c r="A21" t="s">
        <v>129</v>
      </c>
      <c r="B21" t="s">
        <v>130</v>
      </c>
      <c r="C21" s="124">
        <v>328</v>
      </c>
      <c r="D21" s="125">
        <v>111</v>
      </c>
      <c r="E21" s="125">
        <v>94</v>
      </c>
      <c r="F21" s="125">
        <v>123</v>
      </c>
      <c r="G21" s="170" t="s">
        <v>582</v>
      </c>
      <c r="H21" s="170">
        <v>118</v>
      </c>
      <c r="I21" s="171">
        <v>0.16</v>
      </c>
      <c r="J21" s="171">
        <v>3.6999999999999998E-2</v>
      </c>
      <c r="K21" t="str">
        <f t="shared" si="0"/>
        <v>RYJ</v>
      </c>
    </row>
    <row r="22" spans="1:11" x14ac:dyDescent="0.25">
      <c r="A22" t="s">
        <v>58</v>
      </c>
      <c r="B22" t="s">
        <v>59</v>
      </c>
      <c r="C22" s="124">
        <v>263</v>
      </c>
      <c r="D22" s="125">
        <v>96</v>
      </c>
      <c r="E22" s="125">
        <v>82</v>
      </c>
      <c r="F22" s="125">
        <v>85</v>
      </c>
      <c r="G22" s="170" t="s">
        <v>925</v>
      </c>
      <c r="H22" s="170">
        <v>83</v>
      </c>
      <c r="I22" s="171">
        <v>0.02</v>
      </c>
      <c r="J22" s="171">
        <v>4.4999999999999998E-2</v>
      </c>
      <c r="K22" t="str">
        <f t="shared" si="0"/>
        <v>RJZ</v>
      </c>
    </row>
    <row r="23" spans="1:11" x14ac:dyDescent="0.25">
      <c r="A23" t="s">
        <v>123</v>
      </c>
      <c r="B23" t="s">
        <v>124</v>
      </c>
      <c r="C23" s="124">
        <v>561</v>
      </c>
      <c r="D23" s="125">
        <v>185</v>
      </c>
      <c r="E23" s="125">
        <v>216</v>
      </c>
      <c r="F23" s="125">
        <v>160</v>
      </c>
      <c r="G23" s="170" t="s">
        <v>196</v>
      </c>
      <c r="H23" s="170">
        <v>158</v>
      </c>
      <c r="I23" s="171">
        <v>0.09</v>
      </c>
      <c r="J23" s="171">
        <v>2.1999999999999999E-2</v>
      </c>
      <c r="K23" t="str">
        <f t="shared" si="0"/>
        <v>RXN</v>
      </c>
    </row>
    <row r="24" spans="1:11" x14ac:dyDescent="0.25">
      <c r="A24" t="s">
        <v>83</v>
      </c>
      <c r="B24" t="s">
        <v>84</v>
      </c>
      <c r="C24" s="124">
        <v>264</v>
      </c>
      <c r="D24" s="125">
        <v>125</v>
      </c>
      <c r="E24" s="125">
        <v>68</v>
      </c>
      <c r="F24" s="125">
        <v>71</v>
      </c>
      <c r="G24" s="170" t="s">
        <v>926</v>
      </c>
      <c r="H24" s="170">
        <v>70</v>
      </c>
      <c r="I24" s="171">
        <v>0.16</v>
      </c>
      <c r="J24" s="171">
        <v>3.5999999999999997E-2</v>
      </c>
      <c r="K24" t="str">
        <f t="shared" si="0"/>
        <v>RR8</v>
      </c>
    </row>
    <row r="25" spans="1:11" x14ac:dyDescent="0.25">
      <c r="A25" t="s">
        <v>34</v>
      </c>
      <c r="B25" t="s">
        <v>357</v>
      </c>
      <c r="C25" s="124">
        <v>487</v>
      </c>
      <c r="D25" s="125">
        <v>189</v>
      </c>
      <c r="E25" s="125">
        <v>127</v>
      </c>
      <c r="F25" s="125">
        <v>171</v>
      </c>
      <c r="G25" s="170" t="s">
        <v>581</v>
      </c>
      <c r="H25" s="170">
        <v>169</v>
      </c>
      <c r="I25" s="171">
        <v>7.0000000000000007E-2</v>
      </c>
      <c r="J25" s="171">
        <v>2.5000000000000001E-2</v>
      </c>
      <c r="K25" t="str">
        <f t="shared" si="0"/>
        <v>REM</v>
      </c>
    </row>
    <row r="26" spans="1:11" x14ac:dyDescent="0.25">
      <c r="A26" t="s">
        <v>12</v>
      </c>
      <c r="B26" t="s">
        <v>358</v>
      </c>
      <c r="C26" s="124">
        <v>110</v>
      </c>
      <c r="D26" s="125">
        <v>51</v>
      </c>
      <c r="E26" s="125">
        <v>21</v>
      </c>
      <c r="F26" s="125">
        <v>38</v>
      </c>
      <c r="G26" s="170" t="s">
        <v>927</v>
      </c>
      <c r="H26" s="170">
        <v>37</v>
      </c>
      <c r="I26" s="171">
        <v>0.11</v>
      </c>
      <c r="J26" s="171">
        <v>3.5999999999999997E-2</v>
      </c>
      <c r="K26" t="str">
        <f t="shared" si="0"/>
        <v>R1K</v>
      </c>
    </row>
    <row r="27" spans="1:11" x14ac:dyDescent="0.25">
      <c r="A27" t="s">
        <v>8</v>
      </c>
      <c r="B27" t="s">
        <v>9</v>
      </c>
      <c r="C27" s="124">
        <v>329</v>
      </c>
      <c r="D27" s="125">
        <v>78</v>
      </c>
      <c r="E27" s="125">
        <v>94</v>
      </c>
      <c r="F27" s="125">
        <v>157</v>
      </c>
      <c r="G27" s="170" t="s">
        <v>928</v>
      </c>
      <c r="H27" s="170">
        <v>152</v>
      </c>
      <c r="I27" s="171">
        <v>0.11</v>
      </c>
      <c r="J27" s="171">
        <v>4.2999999999999997E-2</v>
      </c>
      <c r="K27" t="str">
        <f t="shared" si="0"/>
        <v>R0A</v>
      </c>
    </row>
    <row r="28" spans="1:11" x14ac:dyDescent="0.25">
      <c r="A28" t="s">
        <v>75</v>
      </c>
      <c r="B28" t="s">
        <v>76</v>
      </c>
      <c r="C28" s="124">
        <v>96</v>
      </c>
      <c r="D28" s="125">
        <v>48</v>
      </c>
      <c r="E28" s="125">
        <v>12</v>
      </c>
      <c r="F28" s="125">
        <v>36</v>
      </c>
      <c r="G28" s="170" t="s">
        <v>929</v>
      </c>
      <c r="H28" s="170">
        <v>36</v>
      </c>
      <c r="I28" s="171">
        <v>0.08</v>
      </c>
      <c r="J28" s="171">
        <v>1.0999999999999999E-2</v>
      </c>
      <c r="K28" t="str">
        <f t="shared" si="0"/>
        <v>RPA</v>
      </c>
    </row>
    <row r="29" spans="1:11" x14ac:dyDescent="0.25">
      <c r="A29" t="s">
        <v>17</v>
      </c>
      <c r="B29" t="s">
        <v>504</v>
      </c>
      <c r="C29" s="124">
        <v>308</v>
      </c>
      <c r="D29" s="125">
        <v>137</v>
      </c>
      <c r="E29" s="125">
        <v>86</v>
      </c>
      <c r="F29" s="125">
        <v>85</v>
      </c>
      <c r="G29" s="170" t="s">
        <v>198</v>
      </c>
      <c r="H29" s="170">
        <v>83</v>
      </c>
      <c r="I29" s="171">
        <v>0.05</v>
      </c>
      <c r="J29" s="171">
        <v>2.9000000000000001E-2</v>
      </c>
      <c r="K29" t="str">
        <f t="shared" si="0"/>
        <v>RAJ</v>
      </c>
    </row>
    <row r="30" spans="1:11" x14ac:dyDescent="0.25">
      <c r="A30" t="s">
        <v>91</v>
      </c>
      <c r="B30" t="s">
        <v>92</v>
      </c>
      <c r="C30" s="124">
        <v>355</v>
      </c>
      <c r="D30" s="125">
        <v>70</v>
      </c>
      <c r="E30" s="125">
        <v>104</v>
      </c>
      <c r="F30" s="125">
        <v>181</v>
      </c>
      <c r="G30" s="170" t="s">
        <v>372</v>
      </c>
      <c r="H30" s="170">
        <v>173</v>
      </c>
      <c r="I30" s="171">
        <v>0.2</v>
      </c>
      <c r="J30" s="171">
        <v>2.7E-2</v>
      </c>
      <c r="K30" t="str">
        <f t="shared" si="0"/>
        <v>RTD</v>
      </c>
    </row>
    <row r="31" spans="1:11" x14ac:dyDescent="0.25">
      <c r="A31" t="s">
        <v>131</v>
      </c>
      <c r="B31" t="s">
        <v>132</v>
      </c>
      <c r="C31" s="124">
        <v>12</v>
      </c>
      <c r="D31" s="125" t="s">
        <v>369</v>
      </c>
      <c r="E31" s="125" t="s">
        <v>369</v>
      </c>
      <c r="F31" s="125" t="s">
        <v>369</v>
      </c>
      <c r="G31" s="170" t="s">
        <v>284</v>
      </c>
      <c r="H31" s="170" t="s">
        <v>284</v>
      </c>
      <c r="I31" s="171" t="s">
        <v>284</v>
      </c>
      <c r="J31" s="171">
        <v>0</v>
      </c>
      <c r="K31" t="str">
        <f t="shared" si="0"/>
        <v>SA999</v>
      </c>
    </row>
    <row r="32" spans="1:11" x14ac:dyDescent="0.25">
      <c r="A32" t="s">
        <v>139</v>
      </c>
      <c r="B32" t="s">
        <v>140</v>
      </c>
      <c r="C32" s="124">
        <v>125</v>
      </c>
      <c r="D32" s="125">
        <v>46</v>
      </c>
      <c r="E32" s="125">
        <v>40</v>
      </c>
      <c r="F32" s="125">
        <v>39</v>
      </c>
      <c r="G32" s="170" t="s">
        <v>930</v>
      </c>
      <c r="H32" s="170">
        <v>38</v>
      </c>
      <c r="I32" s="171">
        <v>0.11</v>
      </c>
      <c r="J32" s="171">
        <v>0.02</v>
      </c>
      <c r="K32" t="str">
        <f t="shared" si="0"/>
        <v>SN999</v>
      </c>
    </row>
    <row r="33" spans="1:11" x14ac:dyDescent="0.25">
      <c r="A33" t="s">
        <v>133</v>
      </c>
      <c r="B33" t="s">
        <v>134</v>
      </c>
      <c r="C33" s="124">
        <v>189</v>
      </c>
      <c r="D33" s="125">
        <v>72</v>
      </c>
      <c r="E33" s="125">
        <v>65</v>
      </c>
      <c r="F33" s="125">
        <v>52</v>
      </c>
      <c r="G33" s="170" t="s">
        <v>373</v>
      </c>
      <c r="H33" s="170">
        <v>49</v>
      </c>
      <c r="I33" s="171">
        <v>0.06</v>
      </c>
      <c r="J33" s="171">
        <v>4.7E-2</v>
      </c>
      <c r="K33" t="str">
        <f t="shared" si="0"/>
        <v>SG999</v>
      </c>
    </row>
    <row r="34" spans="1:11" x14ac:dyDescent="0.25">
      <c r="A34" t="s">
        <v>135</v>
      </c>
      <c r="B34" t="s">
        <v>136</v>
      </c>
      <c r="C34" s="124">
        <v>199</v>
      </c>
      <c r="D34" s="125">
        <v>75</v>
      </c>
      <c r="E34" s="125">
        <v>61</v>
      </c>
      <c r="F34" s="125">
        <v>63</v>
      </c>
      <c r="G34" s="170" t="s">
        <v>931</v>
      </c>
      <c r="H34" s="170">
        <v>63</v>
      </c>
      <c r="I34" s="171">
        <v>0.17</v>
      </c>
      <c r="J34" s="171">
        <v>0.02</v>
      </c>
      <c r="K34" t="str">
        <f t="shared" si="0"/>
        <v>SH999</v>
      </c>
    </row>
    <row r="35" spans="1:11" x14ac:dyDescent="0.25">
      <c r="A35" t="s">
        <v>137</v>
      </c>
      <c r="B35" t="s">
        <v>138</v>
      </c>
      <c r="C35" s="124">
        <v>121</v>
      </c>
      <c r="D35" s="125">
        <v>31</v>
      </c>
      <c r="E35" s="125">
        <v>42</v>
      </c>
      <c r="F35" s="125">
        <v>48</v>
      </c>
      <c r="G35" s="170" t="s">
        <v>932</v>
      </c>
      <c r="H35" s="170">
        <v>47</v>
      </c>
      <c r="I35" s="171">
        <v>0.15</v>
      </c>
      <c r="J35" s="171">
        <v>2.4E-2</v>
      </c>
      <c r="K35" t="str">
        <f t="shared" si="0"/>
        <v>SL999</v>
      </c>
    </row>
    <row r="36" spans="1:11" x14ac:dyDescent="0.25">
      <c r="A36" t="s">
        <v>141</v>
      </c>
      <c r="B36" t="s">
        <v>142</v>
      </c>
      <c r="C36" s="124">
        <v>74</v>
      </c>
      <c r="D36" s="125">
        <v>25</v>
      </c>
      <c r="E36" s="125">
        <v>21</v>
      </c>
      <c r="F36" s="125">
        <v>28</v>
      </c>
      <c r="G36" s="170" t="s">
        <v>583</v>
      </c>
      <c r="H36" s="170">
        <v>27</v>
      </c>
      <c r="I36" s="171">
        <v>0.19</v>
      </c>
      <c r="J36" s="171">
        <v>2.9000000000000001E-2</v>
      </c>
      <c r="K36" t="str">
        <f t="shared" si="0"/>
        <v>SS999</v>
      </c>
    </row>
    <row r="37" spans="1:11" x14ac:dyDescent="0.25">
      <c r="A37" t="s">
        <v>143</v>
      </c>
      <c r="B37" t="s">
        <v>144</v>
      </c>
      <c r="C37" s="124">
        <v>73</v>
      </c>
      <c r="D37" s="125">
        <v>24</v>
      </c>
      <c r="E37" s="125" t="s">
        <v>369</v>
      </c>
      <c r="F37" s="125">
        <v>44</v>
      </c>
      <c r="G37" s="170" t="s">
        <v>933</v>
      </c>
      <c r="H37" s="170">
        <v>44</v>
      </c>
      <c r="I37" s="171">
        <v>0.14000000000000001</v>
      </c>
      <c r="J37" s="171">
        <v>0</v>
      </c>
      <c r="K37" t="str">
        <f t="shared" si="0"/>
        <v>ST999</v>
      </c>
    </row>
    <row r="38" spans="1:11" x14ac:dyDescent="0.25">
      <c r="A38" t="s">
        <v>65</v>
      </c>
      <c r="B38" t="s">
        <v>66</v>
      </c>
      <c r="C38" s="124">
        <v>188</v>
      </c>
      <c r="D38" s="125">
        <v>62</v>
      </c>
      <c r="E38" s="125">
        <v>72</v>
      </c>
      <c r="F38" s="125">
        <v>54</v>
      </c>
      <c r="G38" s="170" t="s">
        <v>934</v>
      </c>
      <c r="H38" s="170">
        <v>52</v>
      </c>
      <c r="I38" s="171">
        <v>0.06</v>
      </c>
      <c r="J38" s="171">
        <v>3.3000000000000002E-2</v>
      </c>
      <c r="K38" t="str">
        <f t="shared" si="0"/>
        <v>RM1</v>
      </c>
    </row>
    <row r="39" spans="1:11" x14ac:dyDescent="0.25">
      <c r="A39" t="s">
        <v>100</v>
      </c>
      <c r="B39" t="s">
        <v>101</v>
      </c>
      <c r="C39" s="124">
        <v>436</v>
      </c>
      <c r="D39" s="125">
        <v>162</v>
      </c>
      <c r="E39" s="125">
        <v>144</v>
      </c>
      <c r="F39" s="125">
        <v>130</v>
      </c>
      <c r="G39" s="170" t="s">
        <v>921</v>
      </c>
      <c r="H39" s="170">
        <v>129</v>
      </c>
      <c r="I39" s="171">
        <v>0.11</v>
      </c>
      <c r="J39" s="171">
        <v>1.7000000000000001E-2</v>
      </c>
      <c r="K39" t="str">
        <f t="shared" si="0"/>
        <v>RVJ</v>
      </c>
    </row>
    <row r="40" spans="1:11" x14ac:dyDescent="0.25">
      <c r="A40" t="s">
        <v>626</v>
      </c>
      <c r="B40" t="s">
        <v>518</v>
      </c>
      <c r="C40" s="124">
        <v>225</v>
      </c>
      <c r="D40" s="125">
        <v>72</v>
      </c>
      <c r="E40" s="125">
        <v>79</v>
      </c>
      <c r="F40" s="125">
        <v>74</v>
      </c>
      <c r="G40" s="170" t="s">
        <v>935</v>
      </c>
      <c r="H40" s="170">
        <v>69</v>
      </c>
      <c r="I40" s="171">
        <v>0.22</v>
      </c>
      <c r="J40" s="171">
        <v>3.7999999999999999E-2</v>
      </c>
      <c r="K40" t="str">
        <f t="shared" si="0"/>
        <v>RNN</v>
      </c>
    </row>
    <row r="41" spans="1:11" x14ac:dyDescent="0.25">
      <c r="A41" t="s">
        <v>72</v>
      </c>
      <c r="B41" t="s">
        <v>73</v>
      </c>
      <c r="C41" s="124">
        <v>205</v>
      </c>
      <c r="D41" s="125">
        <v>67</v>
      </c>
      <c r="E41" s="125">
        <v>70</v>
      </c>
      <c r="F41" s="125">
        <v>68</v>
      </c>
      <c r="G41" s="170" t="s">
        <v>204</v>
      </c>
      <c r="H41" s="170">
        <v>65</v>
      </c>
      <c r="I41" s="171">
        <v>0.12</v>
      </c>
      <c r="J41" s="171">
        <v>3.3000000000000002E-2</v>
      </c>
      <c r="K41" t="str">
        <f t="shared" si="0"/>
        <v>RNS</v>
      </c>
    </row>
    <row r="42" spans="1:11" x14ac:dyDescent="0.25">
      <c r="A42" t="s">
        <v>622</v>
      </c>
      <c r="B42" t="s">
        <v>623</v>
      </c>
      <c r="C42" s="124">
        <v>535</v>
      </c>
      <c r="D42" s="125">
        <v>176</v>
      </c>
      <c r="E42" s="125">
        <v>163</v>
      </c>
      <c r="F42" s="125">
        <v>196</v>
      </c>
      <c r="G42" s="170" t="s">
        <v>579</v>
      </c>
      <c r="H42" s="170">
        <v>189</v>
      </c>
      <c r="I42" s="171">
        <v>0.1</v>
      </c>
      <c r="J42" s="171">
        <v>3.4000000000000002E-2</v>
      </c>
      <c r="K42" t="str">
        <f t="shared" si="0"/>
        <v>RM3</v>
      </c>
    </row>
    <row r="43" spans="1:11" x14ac:dyDescent="0.25">
      <c r="A43" t="s">
        <v>119</v>
      </c>
      <c r="B43" t="s">
        <v>120</v>
      </c>
      <c r="C43" s="124">
        <v>121</v>
      </c>
      <c r="D43" s="125">
        <v>32</v>
      </c>
      <c r="E43" s="125">
        <v>39</v>
      </c>
      <c r="F43" s="125">
        <v>50</v>
      </c>
      <c r="G43" s="170" t="s">
        <v>936</v>
      </c>
      <c r="H43" s="170">
        <v>50</v>
      </c>
      <c r="I43" s="171">
        <v>0.28000000000000003</v>
      </c>
      <c r="J43" s="171">
        <v>3.1E-2</v>
      </c>
      <c r="K43" t="str">
        <f t="shared" si="0"/>
        <v>RX1</v>
      </c>
    </row>
    <row r="44" spans="1:11" x14ac:dyDescent="0.25">
      <c r="A44" t="s">
        <v>96</v>
      </c>
      <c r="B44" t="s">
        <v>360</v>
      </c>
      <c r="C44" s="124">
        <v>166</v>
      </c>
      <c r="D44" s="125">
        <v>78</v>
      </c>
      <c r="E44" s="125">
        <v>48</v>
      </c>
      <c r="F44" s="125">
        <v>40</v>
      </c>
      <c r="G44" s="170" t="s">
        <v>206</v>
      </c>
      <c r="H44" s="170">
        <v>40</v>
      </c>
      <c r="I44" s="171">
        <v>0.15</v>
      </c>
      <c r="J44" s="171">
        <v>8.0000000000000002E-3</v>
      </c>
      <c r="K44" t="str">
        <f t="shared" si="0"/>
        <v>RTH</v>
      </c>
    </row>
    <row r="45" spans="1:11" x14ac:dyDescent="0.25">
      <c r="A45" t="s">
        <v>79</v>
      </c>
      <c r="B45" t="s">
        <v>80</v>
      </c>
      <c r="C45" s="124">
        <v>46</v>
      </c>
      <c r="D45" s="125">
        <v>18</v>
      </c>
      <c r="E45" s="125">
        <v>19</v>
      </c>
      <c r="F45" s="125" t="s">
        <v>369</v>
      </c>
      <c r="G45" s="170" t="s">
        <v>284</v>
      </c>
      <c r="H45" s="170" t="s">
        <v>284</v>
      </c>
      <c r="I45" s="171" t="s">
        <v>284</v>
      </c>
      <c r="J45" s="171">
        <v>0.14099999999999999</v>
      </c>
      <c r="K45" t="str">
        <f t="shared" si="0"/>
        <v>RQW</v>
      </c>
    </row>
    <row r="46" spans="1:11" x14ac:dyDescent="0.25">
      <c r="A46" t="s">
        <v>89</v>
      </c>
      <c r="B46" t="s">
        <v>90</v>
      </c>
      <c r="C46" s="124">
        <v>18</v>
      </c>
      <c r="D46" s="125" t="s">
        <v>369</v>
      </c>
      <c r="E46" s="125" t="s">
        <v>369</v>
      </c>
      <c r="F46" s="125" t="s">
        <v>369</v>
      </c>
      <c r="G46" s="170" t="s">
        <v>284</v>
      </c>
      <c r="H46" s="170" t="s">
        <v>284</v>
      </c>
      <c r="I46" s="171" t="s">
        <v>284</v>
      </c>
      <c r="J46" s="171">
        <v>0.106</v>
      </c>
      <c r="K46" t="str">
        <f t="shared" si="0"/>
        <v>RT3</v>
      </c>
    </row>
    <row r="47" spans="1:11" x14ac:dyDescent="0.25">
      <c r="A47" t="s">
        <v>32</v>
      </c>
      <c r="B47" t="s">
        <v>33</v>
      </c>
      <c r="C47" s="124">
        <v>229</v>
      </c>
      <c r="D47" s="125">
        <v>86</v>
      </c>
      <c r="E47" s="125">
        <v>77</v>
      </c>
      <c r="F47" s="125">
        <v>66</v>
      </c>
      <c r="G47" s="170" t="s">
        <v>198</v>
      </c>
      <c r="H47" s="170">
        <v>64</v>
      </c>
      <c r="I47" s="171">
        <v>0.09</v>
      </c>
      <c r="J47" s="171">
        <v>1.7999999999999999E-2</v>
      </c>
      <c r="K47" t="str">
        <f t="shared" si="0"/>
        <v>REF</v>
      </c>
    </row>
    <row r="48" spans="1:11" x14ac:dyDescent="0.25">
      <c r="A48" t="s">
        <v>42</v>
      </c>
      <c r="B48" t="s">
        <v>43</v>
      </c>
      <c r="C48" s="124">
        <v>226</v>
      </c>
      <c r="D48" s="125">
        <v>71</v>
      </c>
      <c r="E48" s="125">
        <v>73</v>
      </c>
      <c r="F48" s="125">
        <v>82</v>
      </c>
      <c r="G48" s="170" t="s">
        <v>171</v>
      </c>
      <c r="H48" s="170">
        <v>82</v>
      </c>
      <c r="I48" s="171">
        <v>0.1</v>
      </c>
      <c r="J48" s="171">
        <v>2.3E-2</v>
      </c>
      <c r="K48" t="str">
        <f t="shared" si="0"/>
        <v>RH8</v>
      </c>
    </row>
    <row r="49" spans="1:11" x14ac:dyDescent="0.25">
      <c r="A49" t="s">
        <v>19</v>
      </c>
      <c r="B49" t="s">
        <v>20</v>
      </c>
      <c r="C49" s="124">
        <v>193</v>
      </c>
      <c r="D49" s="125">
        <v>102</v>
      </c>
      <c r="E49" s="125">
        <v>83</v>
      </c>
      <c r="F49" s="125" t="s">
        <v>369</v>
      </c>
      <c r="G49" s="170" t="s">
        <v>284</v>
      </c>
      <c r="H49" s="170" t="s">
        <v>284</v>
      </c>
      <c r="I49" s="171" t="s">
        <v>284</v>
      </c>
      <c r="J49" s="171">
        <v>1.7000000000000001E-2</v>
      </c>
      <c r="K49" t="str">
        <f t="shared" si="0"/>
        <v>RAL</v>
      </c>
    </row>
    <row r="50" spans="1:11" x14ac:dyDescent="0.25">
      <c r="A50" t="s">
        <v>46</v>
      </c>
      <c r="B50" t="s">
        <v>47</v>
      </c>
      <c r="C50" s="124">
        <v>142</v>
      </c>
      <c r="D50" s="125">
        <v>46</v>
      </c>
      <c r="E50" s="125">
        <v>41</v>
      </c>
      <c r="F50" s="125">
        <v>55</v>
      </c>
      <c r="G50" s="170" t="s">
        <v>200</v>
      </c>
      <c r="H50" s="170">
        <v>55</v>
      </c>
      <c r="I50" s="171">
        <v>0.04</v>
      </c>
      <c r="J50" s="171">
        <v>0</v>
      </c>
      <c r="K50" t="str">
        <f t="shared" si="0"/>
        <v>RHQ</v>
      </c>
    </row>
    <row r="51" spans="1:11" x14ac:dyDescent="0.25">
      <c r="A51" t="s">
        <v>127</v>
      </c>
      <c r="B51" t="s">
        <v>128</v>
      </c>
      <c r="C51" s="124">
        <v>286</v>
      </c>
      <c r="D51" s="125">
        <v>128</v>
      </c>
      <c r="E51" s="125">
        <v>82</v>
      </c>
      <c r="F51" s="125">
        <v>76</v>
      </c>
      <c r="G51" s="170" t="s">
        <v>210</v>
      </c>
      <c r="H51" s="170">
        <v>75</v>
      </c>
      <c r="I51" s="171">
        <v>0.21</v>
      </c>
      <c r="J51" s="171">
        <v>2.1000000000000001E-2</v>
      </c>
      <c r="K51" t="str">
        <f t="shared" si="0"/>
        <v>RXW</v>
      </c>
    </row>
    <row r="52" spans="1:11" x14ac:dyDescent="0.25">
      <c r="A52" t="s">
        <v>513</v>
      </c>
      <c r="B52" t="s">
        <v>514</v>
      </c>
      <c r="C52" s="124">
        <v>433</v>
      </c>
      <c r="D52" s="125">
        <v>127</v>
      </c>
      <c r="E52" s="125">
        <v>138</v>
      </c>
      <c r="F52" s="125">
        <v>168</v>
      </c>
      <c r="G52" s="170" t="s">
        <v>197</v>
      </c>
      <c r="H52" s="170">
        <v>164</v>
      </c>
      <c r="I52" s="171">
        <v>0.09</v>
      </c>
      <c r="J52" s="171">
        <v>1.2E-2</v>
      </c>
      <c r="K52" t="str">
        <f t="shared" si="0"/>
        <v>RH5</v>
      </c>
    </row>
    <row r="53" spans="1:11" x14ac:dyDescent="0.25">
      <c r="A53" t="s">
        <v>98</v>
      </c>
      <c r="B53" t="s">
        <v>99</v>
      </c>
      <c r="C53" s="124">
        <v>173</v>
      </c>
      <c r="D53" s="125">
        <v>61</v>
      </c>
      <c r="E53" s="125">
        <v>48</v>
      </c>
      <c r="F53" s="125">
        <v>64</v>
      </c>
      <c r="G53" s="170" t="s">
        <v>937</v>
      </c>
      <c r="H53" s="170">
        <v>62</v>
      </c>
      <c r="I53" s="171">
        <v>0.06</v>
      </c>
      <c r="J53" s="171">
        <v>2.3E-2</v>
      </c>
      <c r="K53" t="str">
        <f t="shared" si="0"/>
        <v>RTR</v>
      </c>
    </row>
    <row r="54" spans="1:11" x14ac:dyDescent="0.25">
      <c r="A54" t="s">
        <v>498</v>
      </c>
      <c r="B54" t="s">
        <v>499</v>
      </c>
      <c r="C54" s="124">
        <v>144</v>
      </c>
      <c r="D54" s="125">
        <v>62</v>
      </c>
      <c r="E54" s="125">
        <v>47</v>
      </c>
      <c r="F54" s="125">
        <v>35</v>
      </c>
      <c r="G54" s="170" t="s">
        <v>938</v>
      </c>
      <c r="H54" s="170">
        <v>34</v>
      </c>
      <c r="I54" s="171">
        <v>0.18</v>
      </c>
      <c r="J54" s="171">
        <v>1.7000000000000001E-2</v>
      </c>
      <c r="K54" t="str">
        <f t="shared" si="0"/>
        <v>R0B</v>
      </c>
    </row>
    <row r="55" spans="1:11" x14ac:dyDescent="0.25">
      <c r="A55" t="s">
        <v>52</v>
      </c>
      <c r="B55" t="s">
        <v>53</v>
      </c>
      <c r="C55" s="124">
        <v>260</v>
      </c>
      <c r="D55" s="125">
        <v>112</v>
      </c>
      <c r="E55" s="125">
        <v>77</v>
      </c>
      <c r="F55" s="125">
        <v>71</v>
      </c>
      <c r="G55" s="170" t="s">
        <v>539</v>
      </c>
      <c r="H55" s="170">
        <v>70</v>
      </c>
      <c r="I55" s="171">
        <v>7.0000000000000007E-2</v>
      </c>
      <c r="J55" s="171">
        <v>3.4000000000000002E-2</v>
      </c>
      <c r="K55" t="str">
        <f t="shared" si="0"/>
        <v>RJ7</v>
      </c>
    </row>
    <row r="56" spans="1:11" x14ac:dyDescent="0.25">
      <c r="A56" t="s">
        <v>2</v>
      </c>
      <c r="B56" t="s">
        <v>168</v>
      </c>
      <c r="C56" s="124">
        <v>357</v>
      </c>
      <c r="D56" s="125">
        <v>129</v>
      </c>
      <c r="E56" s="125">
        <v>108</v>
      </c>
      <c r="F56" s="125">
        <v>120</v>
      </c>
      <c r="G56" s="170" t="s">
        <v>932</v>
      </c>
      <c r="H56" s="170">
        <v>112</v>
      </c>
      <c r="I56" s="171">
        <v>0.15</v>
      </c>
      <c r="J56" s="171">
        <v>2.3E-2</v>
      </c>
      <c r="K56" t="str">
        <f t="shared" si="0"/>
        <v>7A3</v>
      </c>
    </row>
    <row r="57" spans="1:11" x14ac:dyDescent="0.25">
      <c r="A57" t="s">
        <v>69</v>
      </c>
      <c r="B57" t="s">
        <v>70</v>
      </c>
      <c r="C57" s="124">
        <v>385</v>
      </c>
      <c r="D57" s="125">
        <v>154</v>
      </c>
      <c r="E57" s="125">
        <v>134</v>
      </c>
      <c r="F57" s="125">
        <v>97</v>
      </c>
      <c r="G57" s="170" t="s">
        <v>939</v>
      </c>
      <c r="H57" s="170">
        <v>96</v>
      </c>
      <c r="I57" s="171">
        <v>0.05</v>
      </c>
      <c r="J57" s="171">
        <v>3.5000000000000003E-2</v>
      </c>
      <c r="K57" t="str">
        <f t="shared" si="0"/>
        <v>RNA</v>
      </c>
    </row>
    <row r="58" spans="1:11" x14ac:dyDescent="0.25">
      <c r="A58" t="s">
        <v>13</v>
      </c>
      <c r="B58" t="s">
        <v>14</v>
      </c>
      <c r="C58" s="124">
        <v>18</v>
      </c>
      <c r="D58" s="125">
        <v>11</v>
      </c>
      <c r="E58" s="125" t="s">
        <v>369</v>
      </c>
      <c r="F58" s="125" t="s">
        <v>369</v>
      </c>
      <c r="G58" s="170" t="s">
        <v>284</v>
      </c>
      <c r="H58" s="170" t="s">
        <v>284</v>
      </c>
      <c r="I58" s="171" t="s">
        <v>284</v>
      </c>
      <c r="J58" s="171">
        <v>0</v>
      </c>
      <c r="K58" t="str">
        <f t="shared" si="0"/>
        <v>RA9</v>
      </c>
    </row>
    <row r="59" spans="1:11" x14ac:dyDescent="0.25">
      <c r="A59" t="s">
        <v>107</v>
      </c>
      <c r="B59" t="s">
        <v>108</v>
      </c>
      <c r="C59" s="124">
        <v>141</v>
      </c>
      <c r="D59" s="125">
        <v>65</v>
      </c>
      <c r="E59" s="125">
        <v>36</v>
      </c>
      <c r="F59" s="125">
        <v>40</v>
      </c>
      <c r="G59" s="170" t="s">
        <v>940</v>
      </c>
      <c r="H59" s="170">
        <v>40</v>
      </c>
      <c r="I59" s="171">
        <v>0.25</v>
      </c>
      <c r="J59" s="171">
        <v>1.7999999999999999E-2</v>
      </c>
      <c r="K59" t="str">
        <f t="shared" si="0"/>
        <v>RWD</v>
      </c>
    </row>
    <row r="60" spans="1:11" x14ac:dyDescent="0.25">
      <c r="A60" t="s">
        <v>54</v>
      </c>
      <c r="B60" t="s">
        <v>55</v>
      </c>
      <c r="C60" s="124">
        <v>397</v>
      </c>
      <c r="D60" s="125">
        <v>151</v>
      </c>
      <c r="E60" s="125">
        <v>113</v>
      </c>
      <c r="F60" s="125">
        <v>133</v>
      </c>
      <c r="G60" s="170" t="s">
        <v>199</v>
      </c>
      <c r="H60" s="170">
        <v>126</v>
      </c>
      <c r="I60" s="171">
        <v>0.18</v>
      </c>
      <c r="J60" s="171">
        <v>4.8000000000000001E-2</v>
      </c>
      <c r="K60" t="str">
        <f t="shared" si="0"/>
        <v>RJE</v>
      </c>
    </row>
    <row r="61" spans="1:11" x14ac:dyDescent="0.25">
      <c r="A61" t="s">
        <v>44</v>
      </c>
      <c r="B61" t="s">
        <v>45</v>
      </c>
      <c r="C61" s="124">
        <v>471</v>
      </c>
      <c r="D61" s="125">
        <v>139</v>
      </c>
      <c r="E61" s="125">
        <v>158</v>
      </c>
      <c r="F61" s="125">
        <v>174</v>
      </c>
      <c r="G61" s="170" t="s">
        <v>233</v>
      </c>
      <c r="H61" s="170">
        <v>171</v>
      </c>
      <c r="I61" s="171">
        <v>0.08</v>
      </c>
      <c r="J61" s="171">
        <v>0.01</v>
      </c>
      <c r="K61" t="str">
        <f t="shared" si="0"/>
        <v>RHM</v>
      </c>
    </row>
    <row r="62" spans="1:11" x14ac:dyDescent="0.25">
      <c r="A62" t="s">
        <v>525</v>
      </c>
      <c r="B62" t="s">
        <v>526</v>
      </c>
      <c r="C62" s="124">
        <v>257</v>
      </c>
      <c r="D62" s="125">
        <v>79</v>
      </c>
      <c r="E62" s="125">
        <v>94</v>
      </c>
      <c r="F62" s="125">
        <v>84</v>
      </c>
      <c r="G62" s="170" t="s">
        <v>941</v>
      </c>
      <c r="H62" s="170">
        <v>83</v>
      </c>
      <c r="I62" s="171">
        <v>0.1</v>
      </c>
      <c r="J62" s="171">
        <v>0.02</v>
      </c>
      <c r="K62" t="str">
        <f t="shared" si="0"/>
        <v>RYR</v>
      </c>
    </row>
    <row r="63" spans="1:11" x14ac:dyDescent="0.25">
      <c r="A63" t="s">
        <v>85</v>
      </c>
      <c r="B63" t="s">
        <v>86</v>
      </c>
      <c r="C63" s="124">
        <v>461</v>
      </c>
      <c r="D63" s="125">
        <v>162</v>
      </c>
      <c r="E63" s="125">
        <v>147</v>
      </c>
      <c r="F63" s="125">
        <v>152</v>
      </c>
      <c r="G63" s="170" t="s">
        <v>374</v>
      </c>
      <c r="H63" s="170">
        <v>143</v>
      </c>
      <c r="I63" s="171">
        <v>0.1</v>
      </c>
      <c r="J63" s="171">
        <v>0.04</v>
      </c>
      <c r="K63" t="str">
        <f t="shared" si="0"/>
        <v>RRK</v>
      </c>
    </row>
    <row r="64" spans="1:11" x14ac:dyDescent="0.25">
      <c r="A64" t="s">
        <v>61</v>
      </c>
      <c r="B64" t="s">
        <v>62</v>
      </c>
      <c r="C64" s="124">
        <v>247</v>
      </c>
      <c r="D64" s="125">
        <v>85</v>
      </c>
      <c r="E64" s="125">
        <v>77</v>
      </c>
      <c r="F64" s="125">
        <v>85</v>
      </c>
      <c r="G64" s="170" t="s">
        <v>556</v>
      </c>
      <c r="H64" s="170">
        <v>78</v>
      </c>
      <c r="I64" s="171">
        <v>0.08</v>
      </c>
      <c r="J64" s="171">
        <v>0.05</v>
      </c>
      <c r="K64" t="str">
        <f t="shared" si="0"/>
        <v>RKB</v>
      </c>
    </row>
    <row r="65" spans="1:11" x14ac:dyDescent="0.25">
      <c r="A65" t="s">
        <v>501</v>
      </c>
      <c r="B65" t="s">
        <v>502</v>
      </c>
      <c r="C65" s="124">
        <v>182</v>
      </c>
      <c r="D65" s="125">
        <v>70</v>
      </c>
      <c r="E65" s="125">
        <v>52</v>
      </c>
      <c r="F65" s="125">
        <v>60</v>
      </c>
      <c r="G65" s="170" t="s">
        <v>942</v>
      </c>
      <c r="H65" s="170">
        <v>60</v>
      </c>
      <c r="I65" s="171">
        <v>0.12</v>
      </c>
      <c r="J65" s="171">
        <v>0</v>
      </c>
      <c r="K65" t="str">
        <f t="shared" si="0"/>
        <v>R0D</v>
      </c>
    </row>
    <row r="66" spans="1:11" x14ac:dyDescent="0.25">
      <c r="A66" t="s">
        <v>95</v>
      </c>
      <c r="B66" t="s">
        <v>285</v>
      </c>
      <c r="C66" s="124">
        <v>324</v>
      </c>
      <c r="D66" s="125">
        <v>145</v>
      </c>
      <c r="E66" s="125">
        <v>87</v>
      </c>
      <c r="F66" s="125">
        <v>92</v>
      </c>
      <c r="G66" s="170" t="s">
        <v>201</v>
      </c>
      <c r="H66" s="170">
        <v>90</v>
      </c>
      <c r="I66" s="171">
        <v>0.08</v>
      </c>
      <c r="J66" s="171">
        <v>2.5000000000000001E-2</v>
      </c>
      <c r="K66" t="str">
        <f t="shared" si="0"/>
        <v>RTG</v>
      </c>
    </row>
    <row r="67" spans="1:11" x14ac:dyDescent="0.25">
      <c r="A67" t="s">
        <v>109</v>
      </c>
      <c r="B67" t="s">
        <v>110</v>
      </c>
      <c r="C67" s="124">
        <v>343</v>
      </c>
      <c r="D67" s="125">
        <v>90</v>
      </c>
      <c r="E67" s="125">
        <v>109</v>
      </c>
      <c r="F67" s="125">
        <v>144</v>
      </c>
      <c r="G67" s="170" t="s">
        <v>943</v>
      </c>
      <c r="H67" s="170">
        <v>142</v>
      </c>
      <c r="I67" s="171">
        <v>0.05</v>
      </c>
      <c r="J67" s="171">
        <v>1.2E-2</v>
      </c>
      <c r="K67" t="str">
        <f t="shared" ref="K67:K71" si="1">A67</f>
        <v>RWE</v>
      </c>
    </row>
    <row r="68" spans="1:11" x14ac:dyDescent="0.25">
      <c r="A68" t="s">
        <v>60</v>
      </c>
      <c r="B68" t="s">
        <v>169</v>
      </c>
      <c r="C68" s="124">
        <v>149</v>
      </c>
      <c r="D68" s="125">
        <v>64</v>
      </c>
      <c r="E68" s="125">
        <v>41</v>
      </c>
      <c r="F68" s="125">
        <v>44</v>
      </c>
      <c r="G68" s="170" t="s">
        <v>944</v>
      </c>
      <c r="H68" s="170">
        <v>44</v>
      </c>
      <c r="I68" s="171">
        <v>0.11</v>
      </c>
      <c r="J68" s="171">
        <v>2.1000000000000001E-2</v>
      </c>
      <c r="K68" t="str">
        <f t="shared" si="1"/>
        <v>RK9</v>
      </c>
    </row>
    <row r="69" spans="1:11" x14ac:dyDescent="0.25">
      <c r="A69" t="s">
        <v>111</v>
      </c>
      <c r="B69" t="s">
        <v>723</v>
      </c>
      <c r="C69" s="124">
        <v>122</v>
      </c>
      <c r="D69" s="125">
        <v>41</v>
      </c>
      <c r="E69" s="125">
        <v>35</v>
      </c>
      <c r="F69" s="125">
        <v>46</v>
      </c>
      <c r="G69" s="170" t="s">
        <v>921</v>
      </c>
      <c r="H69" s="170">
        <v>44</v>
      </c>
      <c r="I69" s="171">
        <v>0.23</v>
      </c>
      <c r="J69" s="171">
        <v>0.05</v>
      </c>
      <c r="K69" t="str">
        <f t="shared" si="1"/>
        <v>RWG</v>
      </c>
    </row>
    <row r="70" spans="1:11" x14ac:dyDescent="0.25">
      <c r="A70" t="s">
        <v>115</v>
      </c>
      <c r="B70" t="s">
        <v>116</v>
      </c>
      <c r="C70" s="124">
        <v>386</v>
      </c>
      <c r="D70" s="125">
        <v>158</v>
      </c>
      <c r="E70" s="125">
        <v>108</v>
      </c>
      <c r="F70" s="125">
        <v>120</v>
      </c>
      <c r="G70" s="170" t="s">
        <v>203</v>
      </c>
      <c r="H70" s="170">
        <v>118</v>
      </c>
      <c r="I70" s="171">
        <v>0.08</v>
      </c>
      <c r="J70" s="171">
        <v>2.1999999999999999E-2</v>
      </c>
      <c r="K70" t="str">
        <f t="shared" si="1"/>
        <v>RWP</v>
      </c>
    </row>
    <row r="71" spans="1:11" x14ac:dyDescent="0.25">
      <c r="A71" t="s">
        <v>25</v>
      </c>
      <c r="B71" t="s">
        <v>26</v>
      </c>
      <c r="C71" s="133">
        <v>341</v>
      </c>
      <c r="D71" s="134">
        <v>117</v>
      </c>
      <c r="E71" s="134">
        <v>89</v>
      </c>
      <c r="F71" s="134">
        <v>135</v>
      </c>
      <c r="G71" s="172" t="s">
        <v>198</v>
      </c>
      <c r="H71" s="172">
        <v>128</v>
      </c>
      <c r="I71" s="173">
        <v>0.09</v>
      </c>
      <c r="J71" s="174">
        <v>4.8000000000000001E-2</v>
      </c>
      <c r="K71" t="str">
        <f t="shared" si="1"/>
        <v>RCB</v>
      </c>
    </row>
  </sheetData>
  <sortState ref="A2:L75">
    <sortCondition ref="B2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workbookViewId="0">
      <pane xSplit="2" ySplit="1" topLeftCell="C71" activePane="bottomRight" state="frozen"/>
      <selection pane="topRight" activeCell="C1" sqref="C1"/>
      <selection pane="bottomLeft" activeCell="A2" sqref="A2"/>
      <selection pane="bottomRight" activeCell="L14" sqref="L14"/>
    </sheetView>
  </sheetViews>
  <sheetFormatPr defaultRowHeight="15" x14ac:dyDescent="0.25"/>
  <cols>
    <col min="1" max="1" width="10.42578125" bestFit="1" customWidth="1"/>
    <col min="2" max="2" width="61" bestFit="1" customWidth="1"/>
    <col min="3" max="3" width="13.42578125" customWidth="1"/>
    <col min="4" max="4" width="12.85546875" customWidth="1"/>
    <col min="5" max="5" width="10.42578125" customWidth="1"/>
    <col min="6" max="6" width="10.5703125" customWidth="1"/>
    <col min="7" max="7" width="16.5703125" customWidth="1"/>
    <col min="8" max="8" width="14.140625" customWidth="1"/>
    <col min="9" max="9" width="14.28515625" customWidth="1"/>
    <col min="10" max="10" width="11.140625" customWidth="1"/>
    <col min="11" max="11" width="8" customWidth="1"/>
    <col min="12" max="12" width="11.28515625" customWidth="1"/>
    <col min="13" max="13" width="10.42578125" bestFit="1" customWidth="1"/>
    <col min="14" max="14" width="12.7109375" style="10" customWidth="1"/>
    <col min="15" max="16" width="11.42578125" style="10" customWidth="1"/>
    <col min="17" max="17" width="8.85546875" style="10" customWidth="1"/>
    <col min="18" max="18" width="9.42578125" style="32" bestFit="1" customWidth="1"/>
    <col min="19" max="19" width="8.140625" bestFit="1" customWidth="1"/>
    <col min="20" max="23" width="9" bestFit="1" customWidth="1"/>
    <col min="31" max="31" width="8.7109375" bestFit="1" customWidth="1"/>
    <col min="32" max="33" width="6.42578125" bestFit="1" customWidth="1"/>
  </cols>
  <sheetData>
    <row r="1" spans="1:35" ht="60" x14ac:dyDescent="0.25">
      <c r="A1" s="79" t="s">
        <v>566</v>
      </c>
      <c r="B1" s="79" t="s">
        <v>149</v>
      </c>
      <c r="C1" s="153" t="s">
        <v>864</v>
      </c>
      <c r="D1" s="154" t="s">
        <v>865</v>
      </c>
      <c r="E1" s="154" t="s">
        <v>866</v>
      </c>
      <c r="F1" s="154" t="s">
        <v>867</v>
      </c>
      <c r="G1" s="154" t="s">
        <v>868</v>
      </c>
      <c r="H1" s="154" t="s">
        <v>869</v>
      </c>
      <c r="I1" s="155" t="s">
        <v>870</v>
      </c>
      <c r="J1" s="156" t="s">
        <v>871</v>
      </c>
      <c r="K1" s="156" t="s">
        <v>872</v>
      </c>
      <c r="L1" s="155" t="s">
        <v>873</v>
      </c>
      <c r="M1" s="79" t="s">
        <v>566</v>
      </c>
      <c r="N1" s="88" t="s">
        <v>900</v>
      </c>
      <c r="O1" s="88" t="s">
        <v>901</v>
      </c>
      <c r="P1" s="88" t="s">
        <v>902</v>
      </c>
      <c r="Q1" s="88" t="s">
        <v>903</v>
      </c>
      <c r="R1" s="184" t="s">
        <v>904</v>
      </c>
      <c r="S1" s="80"/>
      <c r="T1" s="80"/>
      <c r="U1" s="81"/>
      <c r="V1" s="80"/>
      <c r="W1" s="81"/>
      <c r="X1" s="79"/>
      <c r="Y1" s="44"/>
      <c r="Z1" s="9"/>
      <c r="AA1" s="9"/>
      <c r="AB1" s="9"/>
      <c r="AC1" s="9"/>
      <c r="AD1" s="9"/>
      <c r="AE1" s="33"/>
      <c r="AF1" s="33"/>
      <c r="AG1" s="33"/>
      <c r="AH1" s="92"/>
      <c r="AI1" s="92"/>
    </row>
    <row r="2" spans="1:35" x14ac:dyDescent="0.25">
      <c r="A2" t="s">
        <v>6</v>
      </c>
      <c r="B2" t="s">
        <v>7</v>
      </c>
      <c r="C2" s="119">
        <v>73</v>
      </c>
      <c r="D2" s="120">
        <v>0</v>
      </c>
      <c r="E2" s="120">
        <v>10</v>
      </c>
      <c r="F2" s="120">
        <v>63</v>
      </c>
      <c r="G2" s="120" t="s">
        <v>874</v>
      </c>
      <c r="H2" s="120">
        <v>62</v>
      </c>
      <c r="I2" s="157">
        <v>0.27</v>
      </c>
      <c r="J2" s="120">
        <v>36</v>
      </c>
      <c r="K2" s="157">
        <v>0.44</v>
      </c>
      <c r="L2" s="158">
        <v>1.2E-2</v>
      </c>
      <c r="M2" s="83" t="str">
        <f>A2</f>
        <v>7A6</v>
      </c>
      <c r="N2" s="89">
        <v>15</v>
      </c>
      <c r="O2" s="183">
        <v>0.2800000011920929</v>
      </c>
      <c r="P2" s="183">
        <v>0.62000000476837158</v>
      </c>
      <c r="Q2" s="183">
        <v>0.15999999880790711</v>
      </c>
      <c r="R2" s="185">
        <v>0.18000000476837158</v>
      </c>
      <c r="S2" s="85"/>
      <c r="T2" s="82"/>
      <c r="U2" s="83"/>
      <c r="V2" s="82"/>
      <c r="W2" s="83"/>
      <c r="Y2" s="45"/>
      <c r="Z2" s="45"/>
      <c r="AA2" s="85"/>
      <c r="AB2" s="90"/>
      <c r="AC2" s="83"/>
      <c r="AD2" s="83"/>
      <c r="AE2" s="87"/>
      <c r="AF2" s="45"/>
      <c r="AG2" s="45"/>
      <c r="AH2" s="59"/>
      <c r="AI2" s="59"/>
    </row>
    <row r="3" spans="1:35" x14ac:dyDescent="0.25">
      <c r="A3" t="s">
        <v>97</v>
      </c>
      <c r="B3" t="s">
        <v>352</v>
      </c>
      <c r="C3" s="124">
        <v>11</v>
      </c>
      <c r="D3" s="125">
        <v>10</v>
      </c>
      <c r="E3" s="125" t="s">
        <v>369</v>
      </c>
      <c r="F3" s="125">
        <v>0</v>
      </c>
      <c r="G3" s="125" t="s">
        <v>284</v>
      </c>
      <c r="H3" s="125" t="s">
        <v>284</v>
      </c>
      <c r="I3" s="159" t="s">
        <v>284</v>
      </c>
      <c r="J3" s="125" t="s">
        <v>284</v>
      </c>
      <c r="K3" s="159" t="s">
        <v>284</v>
      </c>
      <c r="L3" s="160">
        <v>8.2000000000000003E-2</v>
      </c>
      <c r="M3" s="83" t="str">
        <f t="shared" ref="M3:M66" si="0">A3</f>
        <v>RTK</v>
      </c>
      <c r="N3" s="89">
        <v>54</v>
      </c>
      <c r="O3" s="183" t="e">
        <v>#VALUE!</v>
      </c>
      <c r="P3" s="84" t="e">
        <v>#VALUE!</v>
      </c>
      <c r="Q3" s="183" t="e">
        <v>#VALUE!</v>
      </c>
      <c r="R3" s="185" t="e">
        <v>#VALUE!</v>
      </c>
      <c r="S3" s="85"/>
      <c r="T3" s="82"/>
      <c r="U3" s="83"/>
      <c r="V3" s="82"/>
      <c r="W3" s="83"/>
      <c r="Y3" s="45"/>
      <c r="Z3" s="45"/>
      <c r="AA3" s="85"/>
      <c r="AB3" s="90"/>
      <c r="AC3" s="83"/>
      <c r="AD3" s="83"/>
      <c r="AE3" s="87"/>
      <c r="AF3" s="45"/>
      <c r="AG3" s="45"/>
      <c r="AH3" s="59"/>
      <c r="AI3" s="59"/>
    </row>
    <row r="4" spans="1:35" x14ac:dyDescent="0.25">
      <c r="A4" t="s">
        <v>35</v>
      </c>
      <c r="B4" t="s">
        <v>353</v>
      </c>
      <c r="C4" s="124">
        <v>430</v>
      </c>
      <c r="D4" s="125">
        <v>169</v>
      </c>
      <c r="E4" s="125">
        <v>134</v>
      </c>
      <c r="F4" s="125">
        <v>127</v>
      </c>
      <c r="G4" s="125" t="s">
        <v>875</v>
      </c>
      <c r="H4" s="125">
        <v>124</v>
      </c>
      <c r="I4" s="159">
        <v>0.17</v>
      </c>
      <c r="J4" s="161">
        <v>48</v>
      </c>
      <c r="K4" s="159">
        <v>0.77</v>
      </c>
      <c r="L4" s="160">
        <v>2.1999999999999999E-2</v>
      </c>
      <c r="M4" s="83" t="str">
        <f t="shared" si="0"/>
        <v>RF4</v>
      </c>
      <c r="N4" s="89">
        <v>38</v>
      </c>
      <c r="O4" s="183">
        <v>0.62999999523162842</v>
      </c>
      <c r="P4" s="183">
        <v>0.87999999523162842</v>
      </c>
      <c r="Q4" s="183">
        <v>0.1400000047683716</v>
      </c>
      <c r="R4" s="185">
        <v>0.1099999952316284</v>
      </c>
      <c r="S4" s="83"/>
      <c r="T4" s="82"/>
      <c r="U4" s="83"/>
      <c r="V4" s="82"/>
      <c r="W4" s="83"/>
      <c r="AA4" s="83"/>
      <c r="AB4" s="91"/>
      <c r="AC4" s="83"/>
      <c r="AD4" s="83"/>
      <c r="AE4" s="87"/>
      <c r="AF4" s="45"/>
      <c r="AG4" s="45"/>
      <c r="AH4" s="59"/>
      <c r="AI4" s="59"/>
    </row>
    <row r="5" spans="1:35" x14ac:dyDescent="0.25">
      <c r="A5" t="s">
        <v>10</v>
      </c>
      <c r="B5" t="s">
        <v>11</v>
      </c>
      <c r="C5" s="124">
        <v>376</v>
      </c>
      <c r="D5" s="125">
        <v>178</v>
      </c>
      <c r="E5" s="125">
        <v>154</v>
      </c>
      <c r="F5" s="125">
        <v>44</v>
      </c>
      <c r="G5" s="125" t="s">
        <v>876</v>
      </c>
      <c r="H5" s="125">
        <v>41</v>
      </c>
      <c r="I5" s="159">
        <v>0.2</v>
      </c>
      <c r="J5" s="161" t="s">
        <v>369</v>
      </c>
      <c r="K5" s="159" t="s">
        <v>284</v>
      </c>
      <c r="L5" s="160">
        <v>1.9E-2</v>
      </c>
      <c r="M5" s="83" t="str">
        <f t="shared" si="0"/>
        <v>R1H</v>
      </c>
      <c r="N5" s="89">
        <v>55</v>
      </c>
      <c r="O5" s="183" t="e">
        <v>#VALUE!</v>
      </c>
      <c r="P5" s="84" t="e">
        <v>#VALUE!</v>
      </c>
      <c r="Q5" s="183" t="e">
        <v>#VALUE!</v>
      </c>
      <c r="R5" s="185" t="e">
        <v>#VALUE!</v>
      </c>
      <c r="S5" s="83"/>
      <c r="T5" s="82"/>
      <c r="U5" s="83"/>
      <c r="V5" s="82"/>
      <c r="W5" s="83"/>
      <c r="AA5" s="83"/>
      <c r="AB5" s="91"/>
      <c r="AC5" s="83"/>
      <c r="AD5" s="83"/>
      <c r="AE5" s="87"/>
      <c r="AF5" s="45"/>
      <c r="AG5" s="45"/>
      <c r="AH5" s="59"/>
      <c r="AI5" s="59"/>
    </row>
    <row r="6" spans="1:35" x14ac:dyDescent="0.25">
      <c r="A6" t="s">
        <v>610</v>
      </c>
      <c r="B6" t="s">
        <v>611</v>
      </c>
      <c r="C6" s="124">
        <v>437</v>
      </c>
      <c r="D6" s="125">
        <v>176</v>
      </c>
      <c r="E6" s="125">
        <v>134</v>
      </c>
      <c r="F6" s="125">
        <v>127</v>
      </c>
      <c r="G6" s="125" t="s">
        <v>216</v>
      </c>
      <c r="H6" s="125">
        <v>126</v>
      </c>
      <c r="I6" s="159">
        <v>0.02</v>
      </c>
      <c r="J6" s="161">
        <v>100</v>
      </c>
      <c r="K6" s="159">
        <v>0.9</v>
      </c>
      <c r="L6" s="160">
        <v>1.7000000000000001E-2</v>
      </c>
      <c r="M6" s="83" t="str">
        <f t="shared" si="0"/>
        <v>RC9</v>
      </c>
      <c r="N6" s="89">
        <v>46</v>
      </c>
      <c r="O6" s="183">
        <v>0.81999999284744263</v>
      </c>
      <c r="P6" s="183">
        <v>0.94999998807907104</v>
      </c>
      <c r="Q6" s="183">
        <v>8.0000007152557395E-2</v>
      </c>
      <c r="R6" s="185">
        <v>4.9999988079071023E-2</v>
      </c>
      <c r="S6" s="83"/>
      <c r="T6" s="82"/>
      <c r="U6" s="83"/>
      <c r="V6" s="82"/>
      <c r="W6" s="83"/>
      <c r="AA6" s="83"/>
      <c r="AB6" s="91"/>
      <c r="AC6" s="83"/>
      <c r="AD6" s="83"/>
      <c r="AE6" s="87"/>
      <c r="AF6" s="45"/>
      <c r="AG6" s="45"/>
      <c r="AH6" s="59"/>
      <c r="AI6" s="59"/>
    </row>
    <row r="7" spans="1:35" x14ac:dyDescent="0.25">
      <c r="A7" t="s">
        <v>147</v>
      </c>
      <c r="B7" t="s">
        <v>148</v>
      </c>
      <c r="C7" s="124">
        <v>359</v>
      </c>
      <c r="D7" s="125">
        <v>166</v>
      </c>
      <c r="E7" s="125">
        <v>85</v>
      </c>
      <c r="F7" s="125">
        <v>108</v>
      </c>
      <c r="G7" s="125" t="s">
        <v>217</v>
      </c>
      <c r="H7" s="125">
        <v>108</v>
      </c>
      <c r="I7" s="159">
        <v>0.22</v>
      </c>
      <c r="J7" s="125">
        <v>87</v>
      </c>
      <c r="K7" s="159">
        <v>0.87</v>
      </c>
      <c r="L7" s="160">
        <v>1.2E-2</v>
      </c>
      <c r="M7" s="83" t="str">
        <f t="shared" si="0"/>
        <v>ZT001</v>
      </c>
      <c r="N7" s="89">
        <v>44</v>
      </c>
      <c r="O7" s="183">
        <v>0.79000002145767212</v>
      </c>
      <c r="P7" s="183">
        <v>0.93999999761581421</v>
      </c>
      <c r="Q7" s="183">
        <v>7.9999978542327876E-2</v>
      </c>
      <c r="R7" s="185">
        <v>6.9999997615814213E-2</v>
      </c>
      <c r="S7" s="83"/>
      <c r="T7" s="82"/>
      <c r="U7" s="83"/>
      <c r="V7" s="82"/>
      <c r="W7" s="83"/>
      <c r="AA7" s="83"/>
      <c r="AB7" s="91"/>
      <c r="AC7" s="83"/>
      <c r="AD7" s="83"/>
      <c r="AE7" s="87"/>
      <c r="AF7" s="45"/>
      <c r="AG7" s="45"/>
      <c r="AH7" s="59"/>
      <c r="AI7" s="59"/>
    </row>
    <row r="8" spans="1:35" x14ac:dyDescent="0.25">
      <c r="A8" t="s">
        <v>0</v>
      </c>
      <c r="B8" t="s">
        <v>1</v>
      </c>
      <c r="C8" s="140" t="e">
        <v>#N/A</v>
      </c>
      <c r="D8" s="125" t="s">
        <v>369</v>
      </c>
      <c r="E8" s="125" t="s">
        <v>369</v>
      </c>
      <c r="F8" s="125" t="s">
        <v>369</v>
      </c>
      <c r="G8" s="125" t="s">
        <v>284</v>
      </c>
      <c r="H8" s="125" t="s">
        <v>284</v>
      </c>
      <c r="I8" s="125" t="s">
        <v>284</v>
      </c>
      <c r="J8" s="125" t="s">
        <v>284</v>
      </c>
      <c r="K8" s="125" t="s">
        <v>284</v>
      </c>
      <c r="L8" s="125" t="s">
        <v>284</v>
      </c>
      <c r="M8" s="83" t="str">
        <f t="shared" si="0"/>
        <v>7A1</v>
      </c>
      <c r="N8" s="89">
        <v>56</v>
      </c>
      <c r="O8" s="183" t="e">
        <v>#VALUE!</v>
      </c>
      <c r="P8" s="84" t="e">
        <v>#VALUE!</v>
      </c>
      <c r="Q8" s="183" t="e">
        <v>#VALUE!</v>
      </c>
      <c r="R8" s="185" t="e">
        <v>#VALUE!</v>
      </c>
      <c r="S8" s="85"/>
      <c r="T8" s="82"/>
      <c r="U8" s="83"/>
      <c r="V8" s="82"/>
      <c r="W8" s="83"/>
      <c r="Y8" s="45"/>
      <c r="Z8" s="45"/>
      <c r="AA8" s="85"/>
      <c r="AB8" s="90"/>
      <c r="AC8" s="83"/>
      <c r="AD8" s="83"/>
      <c r="AE8" s="87"/>
      <c r="AF8" s="45"/>
      <c r="AG8" s="45"/>
      <c r="AH8" s="59"/>
      <c r="AI8" s="59"/>
    </row>
    <row r="9" spans="1:35" x14ac:dyDescent="0.25">
      <c r="A9" t="s">
        <v>67</v>
      </c>
      <c r="B9" t="s">
        <v>68</v>
      </c>
      <c r="C9" s="124">
        <v>172</v>
      </c>
      <c r="D9" s="125">
        <v>79</v>
      </c>
      <c r="E9" s="125">
        <v>56</v>
      </c>
      <c r="F9" s="125">
        <v>37</v>
      </c>
      <c r="G9" s="125" t="s">
        <v>216</v>
      </c>
      <c r="H9" s="125">
        <v>37</v>
      </c>
      <c r="I9" s="159">
        <v>0.14000000000000001</v>
      </c>
      <c r="J9" s="161">
        <v>34</v>
      </c>
      <c r="K9" s="159">
        <v>0.91</v>
      </c>
      <c r="L9" s="160">
        <v>0</v>
      </c>
      <c r="M9" s="83" t="str">
        <f t="shared" si="0"/>
        <v>RMC</v>
      </c>
      <c r="N9" s="89">
        <v>48</v>
      </c>
      <c r="O9" s="183">
        <v>0.75999999046325684</v>
      </c>
      <c r="P9" s="183">
        <v>0.98000001907348633</v>
      </c>
      <c r="Q9" s="183">
        <v>0.1500000095367432</v>
      </c>
      <c r="R9" s="185">
        <v>7.0000019073486297E-2</v>
      </c>
      <c r="S9" s="85"/>
      <c r="T9" s="82"/>
      <c r="U9" s="83"/>
      <c r="V9" s="82"/>
      <c r="W9" s="83"/>
      <c r="Y9" s="45"/>
      <c r="AA9" s="85"/>
      <c r="AB9" s="90"/>
      <c r="AC9" s="83"/>
      <c r="AD9" s="83"/>
      <c r="AE9" s="87"/>
      <c r="AF9" s="45"/>
      <c r="AG9" s="45"/>
      <c r="AH9" s="59"/>
      <c r="AI9" s="59"/>
    </row>
    <row r="10" spans="1:35" x14ac:dyDescent="0.25">
      <c r="A10" t="s">
        <v>15</v>
      </c>
      <c r="B10" t="s">
        <v>16</v>
      </c>
      <c r="C10" s="124">
        <v>0</v>
      </c>
      <c r="D10" s="125">
        <v>0</v>
      </c>
      <c r="E10" s="125">
        <v>0</v>
      </c>
      <c r="F10" s="125">
        <v>0</v>
      </c>
      <c r="G10" s="125" t="s">
        <v>284</v>
      </c>
      <c r="H10" s="125" t="s">
        <v>284</v>
      </c>
      <c r="I10" s="159" t="s">
        <v>284</v>
      </c>
      <c r="J10" s="125" t="s">
        <v>284</v>
      </c>
      <c r="K10" s="159" t="s">
        <v>284</v>
      </c>
      <c r="L10" s="160" t="s">
        <v>284</v>
      </c>
      <c r="M10" s="83" t="str">
        <f t="shared" si="0"/>
        <v>RAE</v>
      </c>
      <c r="N10" s="89">
        <v>57</v>
      </c>
      <c r="O10" s="183" t="e">
        <v>#VALUE!</v>
      </c>
      <c r="P10" s="84" t="e">
        <v>#VALUE!</v>
      </c>
      <c r="Q10" s="183" t="e">
        <v>#VALUE!</v>
      </c>
      <c r="R10" s="185" t="e">
        <v>#VALUE!</v>
      </c>
      <c r="S10" s="85"/>
      <c r="T10" s="82"/>
      <c r="U10" s="83"/>
      <c r="V10" s="82"/>
      <c r="W10" s="83"/>
      <c r="Y10" s="45"/>
      <c r="Z10" s="45"/>
      <c r="AA10" s="85"/>
      <c r="AB10" s="90"/>
      <c r="AC10" s="83"/>
      <c r="AD10" s="83"/>
      <c r="AE10" s="87"/>
      <c r="AF10" s="45"/>
      <c r="AG10" s="45"/>
      <c r="AH10" s="59"/>
      <c r="AI10" s="59"/>
    </row>
    <row r="11" spans="1:35" x14ac:dyDescent="0.25">
      <c r="A11" t="s">
        <v>195</v>
      </c>
      <c r="B11" t="s">
        <v>282</v>
      </c>
      <c r="C11" s="140" t="e">
        <v>#N/A</v>
      </c>
      <c r="D11" s="125" t="s">
        <v>369</v>
      </c>
      <c r="E11" s="125">
        <v>0</v>
      </c>
      <c r="F11" s="125">
        <v>0</v>
      </c>
      <c r="G11" s="125" t="s">
        <v>284</v>
      </c>
      <c r="H11" s="125" t="s">
        <v>284</v>
      </c>
      <c r="I11" s="159" t="s">
        <v>284</v>
      </c>
      <c r="J11" s="125" t="s">
        <v>284</v>
      </c>
      <c r="K11" s="159" t="s">
        <v>284</v>
      </c>
      <c r="L11" s="160" t="s">
        <v>284</v>
      </c>
      <c r="M11" s="83" t="str">
        <f t="shared" si="0"/>
        <v>RXQ</v>
      </c>
      <c r="N11" s="89">
        <v>58</v>
      </c>
      <c r="O11" s="183" t="e">
        <v>#VALUE!</v>
      </c>
      <c r="P11" s="84" t="e">
        <v>#VALUE!</v>
      </c>
      <c r="Q11" s="183" t="e">
        <v>#VALUE!</v>
      </c>
      <c r="R11" s="185" t="e">
        <v>#VALUE!</v>
      </c>
      <c r="S11" s="83"/>
      <c r="T11" s="82"/>
      <c r="U11" s="83"/>
      <c r="V11" s="82"/>
      <c r="W11" s="83"/>
      <c r="Y11" s="45"/>
      <c r="Z11" s="45"/>
      <c r="AA11" s="83"/>
      <c r="AB11" s="90"/>
      <c r="AC11" s="83"/>
      <c r="AD11" s="83"/>
      <c r="AE11" s="87"/>
      <c r="AF11" s="45"/>
      <c r="AG11" s="45"/>
      <c r="AH11" s="59"/>
      <c r="AI11" s="59"/>
    </row>
    <row r="12" spans="1:35" x14ac:dyDescent="0.25">
      <c r="A12" t="s">
        <v>117</v>
      </c>
      <c r="B12" t="s">
        <v>118</v>
      </c>
      <c r="C12" s="124">
        <v>0</v>
      </c>
      <c r="D12" s="125">
        <v>0</v>
      </c>
      <c r="E12" s="125">
        <v>0</v>
      </c>
      <c r="F12" s="125">
        <v>0</v>
      </c>
      <c r="G12" s="125" t="s">
        <v>284</v>
      </c>
      <c r="H12" s="125" t="s">
        <v>284</v>
      </c>
      <c r="I12" s="159" t="s">
        <v>284</v>
      </c>
      <c r="J12" s="125" t="s">
        <v>284</v>
      </c>
      <c r="K12" s="159" t="s">
        <v>284</v>
      </c>
      <c r="L12" s="160" t="s">
        <v>284</v>
      </c>
      <c r="M12" s="83" t="str">
        <f t="shared" si="0"/>
        <v>RWY</v>
      </c>
      <c r="N12" s="89">
        <v>59</v>
      </c>
      <c r="O12" s="183" t="e">
        <v>#VALUE!</v>
      </c>
      <c r="P12" s="84" t="e">
        <v>#VALUE!</v>
      </c>
      <c r="Q12" s="183" t="e">
        <v>#VALUE!</v>
      </c>
      <c r="R12" s="185" t="e">
        <v>#VALUE!</v>
      </c>
      <c r="S12" s="85"/>
      <c r="T12" s="82"/>
      <c r="U12" s="83"/>
      <c r="V12" s="82"/>
      <c r="W12" s="83"/>
      <c r="Y12" s="45"/>
      <c r="AA12" s="85"/>
      <c r="AB12" s="91"/>
      <c r="AC12" s="83"/>
      <c r="AD12" s="83"/>
      <c r="AE12" s="87"/>
      <c r="AF12" s="45"/>
      <c r="AG12" s="45"/>
      <c r="AH12" s="59"/>
      <c r="AI12" s="59"/>
    </row>
    <row r="13" spans="1:35" x14ac:dyDescent="0.25">
      <c r="A13" t="s">
        <v>40</v>
      </c>
      <c r="B13" t="s">
        <v>41</v>
      </c>
      <c r="C13" s="124">
        <v>437</v>
      </c>
      <c r="D13" s="125">
        <v>379</v>
      </c>
      <c r="E13" s="125">
        <v>40</v>
      </c>
      <c r="F13" s="125">
        <v>18</v>
      </c>
      <c r="G13" s="125" t="s">
        <v>877</v>
      </c>
      <c r="H13" s="125">
        <v>18</v>
      </c>
      <c r="I13" s="159">
        <v>0.11</v>
      </c>
      <c r="J13" s="161">
        <v>14</v>
      </c>
      <c r="K13" s="159">
        <v>0.21</v>
      </c>
      <c r="L13" s="160">
        <v>1.9E-2</v>
      </c>
      <c r="M13" s="83" t="str">
        <f t="shared" si="0"/>
        <v>RGT</v>
      </c>
      <c r="N13" s="89">
        <v>7</v>
      </c>
      <c r="O13" s="183">
        <v>5.000000074505806E-2</v>
      </c>
      <c r="P13" s="183">
        <v>0.50999999046325684</v>
      </c>
      <c r="Q13" s="183">
        <v>0.15999999925494193</v>
      </c>
      <c r="R13" s="185">
        <v>0.29999999046325687</v>
      </c>
      <c r="S13" s="83"/>
      <c r="T13" s="82"/>
      <c r="U13" s="83"/>
      <c r="V13" s="82"/>
      <c r="W13" s="83"/>
      <c r="Y13" s="45"/>
      <c r="Z13" s="45"/>
      <c r="AA13" s="83"/>
      <c r="AB13" s="90"/>
      <c r="AC13" s="83"/>
      <c r="AD13" s="83"/>
      <c r="AE13" s="87"/>
      <c r="AF13" s="45"/>
      <c r="AG13" s="45"/>
      <c r="AH13" s="59"/>
      <c r="AI13" s="59"/>
    </row>
    <row r="14" spans="1:35" x14ac:dyDescent="0.25">
      <c r="A14" t="s">
        <v>3</v>
      </c>
      <c r="B14" t="s">
        <v>4</v>
      </c>
      <c r="C14" s="124">
        <v>73</v>
      </c>
      <c r="D14" s="125">
        <v>24</v>
      </c>
      <c r="E14" s="125">
        <v>23</v>
      </c>
      <c r="F14" s="125">
        <v>26</v>
      </c>
      <c r="G14" s="125" t="s">
        <v>878</v>
      </c>
      <c r="H14" s="125">
        <v>24</v>
      </c>
      <c r="I14" s="159">
        <v>0.13</v>
      </c>
      <c r="J14" s="161">
        <v>12</v>
      </c>
      <c r="K14" s="159">
        <v>0</v>
      </c>
      <c r="L14" s="160">
        <v>2.4E-2</v>
      </c>
      <c r="M14" s="83" t="str">
        <f t="shared" si="0"/>
        <v>7A4</v>
      </c>
      <c r="N14" s="89">
        <v>1</v>
      </c>
      <c r="O14" s="183">
        <v>0</v>
      </c>
      <c r="P14" s="183">
        <v>0.25999999046325684</v>
      </c>
      <c r="Q14" s="183">
        <v>0</v>
      </c>
      <c r="R14" s="185">
        <v>0.25999999046325684</v>
      </c>
      <c r="S14" s="83"/>
      <c r="T14" s="82"/>
      <c r="U14" s="83"/>
      <c r="V14" s="82"/>
      <c r="W14" s="83"/>
      <c r="AA14" s="83"/>
      <c r="AB14" s="91"/>
      <c r="AC14" s="83"/>
      <c r="AD14" s="83"/>
      <c r="AE14" s="87"/>
      <c r="AF14" s="45"/>
      <c r="AG14" s="45"/>
      <c r="AH14" s="59"/>
      <c r="AI14" s="59"/>
    </row>
    <row r="15" spans="1:35" x14ac:dyDescent="0.25">
      <c r="A15" t="s">
        <v>56</v>
      </c>
      <c r="B15" t="s">
        <v>57</v>
      </c>
      <c r="C15" s="124">
        <v>337</v>
      </c>
      <c r="D15" s="125">
        <v>169</v>
      </c>
      <c r="E15" s="125">
        <v>102</v>
      </c>
      <c r="F15" s="125">
        <v>66</v>
      </c>
      <c r="G15" s="125" t="s">
        <v>879</v>
      </c>
      <c r="H15" s="125">
        <v>66</v>
      </c>
      <c r="I15" s="159">
        <v>0.11</v>
      </c>
      <c r="J15" s="161">
        <v>48</v>
      </c>
      <c r="K15" s="159">
        <v>0.38</v>
      </c>
      <c r="L15" s="160">
        <v>2.8000000000000001E-2</v>
      </c>
      <c r="M15" s="83" t="str">
        <f t="shared" si="0"/>
        <v>RJR</v>
      </c>
      <c r="N15" s="89">
        <v>12</v>
      </c>
      <c r="O15" s="183">
        <v>0.23999999463558197</v>
      </c>
      <c r="P15" s="183">
        <v>0.52999997138977051</v>
      </c>
      <c r="Q15" s="183">
        <v>0.14000000536441803</v>
      </c>
      <c r="R15" s="185">
        <v>0.1499999713897705</v>
      </c>
      <c r="S15" s="85"/>
      <c r="T15" s="82"/>
      <c r="U15" s="83"/>
      <c r="V15" s="82"/>
      <c r="W15" s="83"/>
      <c r="Y15" s="45"/>
      <c r="Z15" s="45"/>
      <c r="AA15" s="85"/>
      <c r="AB15" s="91"/>
      <c r="AC15" s="83"/>
      <c r="AD15" s="83"/>
      <c r="AE15" s="87"/>
      <c r="AF15" s="45"/>
      <c r="AG15" s="45"/>
      <c r="AH15" s="59"/>
      <c r="AI15" s="59"/>
    </row>
    <row r="16" spans="1:35" x14ac:dyDescent="0.25">
      <c r="A16" t="s">
        <v>714</v>
      </c>
      <c r="B16" t="s">
        <v>715</v>
      </c>
      <c r="C16" s="124">
        <v>0</v>
      </c>
      <c r="D16" s="125">
        <v>0</v>
      </c>
      <c r="E16" s="125">
        <v>0</v>
      </c>
      <c r="F16" s="125">
        <v>0</v>
      </c>
      <c r="G16" s="125" t="s">
        <v>284</v>
      </c>
      <c r="H16" s="125" t="s">
        <v>284</v>
      </c>
      <c r="I16" s="159" t="s">
        <v>284</v>
      </c>
      <c r="J16" s="125" t="s">
        <v>284</v>
      </c>
      <c r="K16" s="159" t="s">
        <v>284</v>
      </c>
      <c r="L16" s="160" t="s">
        <v>284</v>
      </c>
      <c r="M16" s="83" t="str">
        <f t="shared" si="0"/>
        <v>RXP</v>
      </c>
      <c r="N16" s="89">
        <v>60</v>
      </c>
      <c r="O16" s="183" t="e">
        <v>#VALUE!</v>
      </c>
      <c r="P16" s="84" t="e">
        <v>#VALUE!</v>
      </c>
      <c r="Q16" s="183" t="e">
        <v>#VALUE!</v>
      </c>
      <c r="R16" s="185" t="e">
        <v>#VALUE!</v>
      </c>
      <c r="S16" s="85"/>
      <c r="T16" s="82"/>
      <c r="U16" s="83"/>
      <c r="V16" s="82"/>
      <c r="W16" s="83"/>
      <c r="Y16" s="45"/>
      <c r="Z16" s="45"/>
      <c r="AA16" s="85"/>
      <c r="AB16" s="90"/>
      <c r="AC16" s="83"/>
      <c r="AD16" s="83"/>
      <c r="AE16" s="87"/>
      <c r="AF16" s="45"/>
      <c r="AG16" s="45"/>
      <c r="AH16" s="59"/>
      <c r="AI16" s="59"/>
    </row>
    <row r="17" spans="1:35" x14ac:dyDescent="0.25">
      <c r="A17" t="s">
        <v>5</v>
      </c>
      <c r="B17" t="s">
        <v>354</v>
      </c>
      <c r="C17" s="124">
        <v>70</v>
      </c>
      <c r="D17" s="125">
        <v>70</v>
      </c>
      <c r="E17" s="125">
        <v>0</v>
      </c>
      <c r="F17" s="125">
        <v>0</v>
      </c>
      <c r="G17" s="125" t="s">
        <v>284</v>
      </c>
      <c r="H17" s="125" t="s">
        <v>284</v>
      </c>
      <c r="I17" s="159" t="s">
        <v>284</v>
      </c>
      <c r="J17" s="125" t="s">
        <v>284</v>
      </c>
      <c r="K17" s="159" t="s">
        <v>284</v>
      </c>
      <c r="L17" s="160">
        <v>1.4999999999999999E-2</v>
      </c>
      <c r="M17" s="83" t="str">
        <f t="shared" si="0"/>
        <v>7A5</v>
      </c>
      <c r="N17" s="89">
        <v>61</v>
      </c>
      <c r="O17" s="183" t="e">
        <v>#VALUE!</v>
      </c>
      <c r="P17" s="84" t="e">
        <v>#VALUE!</v>
      </c>
      <c r="Q17" s="183" t="e">
        <v>#VALUE!</v>
      </c>
      <c r="R17" s="185" t="e">
        <v>#VALUE!</v>
      </c>
      <c r="S17" s="83"/>
      <c r="T17" s="82"/>
      <c r="U17" s="83"/>
      <c r="V17" s="82"/>
      <c r="W17" s="83"/>
      <c r="Y17" s="45"/>
      <c r="Z17" s="45"/>
      <c r="AA17" s="83"/>
      <c r="AB17" s="91"/>
      <c r="AC17" s="83"/>
      <c r="AD17" s="83"/>
      <c r="AE17" s="87"/>
      <c r="AF17" s="45"/>
      <c r="AG17" s="45"/>
      <c r="AH17" s="59"/>
      <c r="AI17" s="59"/>
    </row>
    <row r="18" spans="1:35" x14ac:dyDescent="0.25">
      <c r="A18" t="s">
        <v>74</v>
      </c>
      <c r="B18" t="s">
        <v>355</v>
      </c>
      <c r="C18" s="124">
        <v>0</v>
      </c>
      <c r="D18" s="125">
        <v>0</v>
      </c>
      <c r="E18" s="125">
        <v>0</v>
      </c>
      <c r="F18" s="125">
        <v>0</v>
      </c>
      <c r="G18" s="125" t="s">
        <v>284</v>
      </c>
      <c r="H18" s="125" t="s">
        <v>284</v>
      </c>
      <c r="I18" s="159" t="s">
        <v>284</v>
      </c>
      <c r="J18" s="125" t="s">
        <v>284</v>
      </c>
      <c r="K18" s="159" t="s">
        <v>284</v>
      </c>
      <c r="L18" s="160" t="s">
        <v>284</v>
      </c>
      <c r="M18" s="83" t="str">
        <f t="shared" si="0"/>
        <v>RP5</v>
      </c>
      <c r="N18" s="89">
        <v>62</v>
      </c>
      <c r="O18" s="183" t="e">
        <v>#VALUE!</v>
      </c>
      <c r="P18" s="84" t="e">
        <v>#VALUE!</v>
      </c>
      <c r="Q18" s="183" t="e">
        <v>#VALUE!</v>
      </c>
      <c r="R18" s="185" t="e">
        <v>#VALUE!</v>
      </c>
      <c r="S18" s="85"/>
      <c r="T18" s="82"/>
      <c r="U18" s="83"/>
      <c r="V18" s="82"/>
      <c r="W18" s="83"/>
      <c r="Y18" s="45"/>
      <c r="Z18" s="45"/>
      <c r="AA18" s="85"/>
      <c r="AB18" s="90"/>
      <c r="AC18" s="83"/>
      <c r="AD18" s="83"/>
      <c r="AE18" s="87"/>
      <c r="AF18" s="45"/>
      <c r="AG18" s="45"/>
      <c r="AH18" s="59"/>
      <c r="AI18" s="59"/>
    </row>
    <row r="19" spans="1:35" x14ac:dyDescent="0.25">
      <c r="A19" t="s">
        <v>113</v>
      </c>
      <c r="B19" t="s">
        <v>114</v>
      </c>
      <c r="C19" s="124">
        <v>43</v>
      </c>
      <c r="D19" s="125" t="s">
        <v>369</v>
      </c>
      <c r="E19" s="125" t="s">
        <v>369</v>
      </c>
      <c r="F19" s="125">
        <v>32</v>
      </c>
      <c r="G19" s="125" t="s">
        <v>880</v>
      </c>
      <c r="H19" s="125">
        <v>31</v>
      </c>
      <c r="I19" s="159">
        <v>0.03</v>
      </c>
      <c r="J19" s="161">
        <v>18</v>
      </c>
      <c r="K19" s="159">
        <v>0.78</v>
      </c>
      <c r="L19" s="160">
        <v>4.1000000000000002E-2</v>
      </c>
      <c r="M19" s="83" t="str">
        <f t="shared" si="0"/>
        <v>RWH</v>
      </c>
      <c r="N19" s="89">
        <v>39</v>
      </c>
      <c r="O19" s="183">
        <v>0.51999998092651367</v>
      </c>
      <c r="P19" s="183">
        <v>0.93999999761581421</v>
      </c>
      <c r="Q19" s="183">
        <v>0.26000001907348635</v>
      </c>
      <c r="R19" s="185">
        <v>0.15999999761581418</v>
      </c>
      <c r="S19" s="83"/>
      <c r="T19" s="82"/>
      <c r="U19" s="83"/>
      <c r="V19" s="82"/>
      <c r="W19" s="83"/>
      <c r="AA19" s="83"/>
      <c r="AB19" s="91"/>
      <c r="AC19" s="83"/>
      <c r="AD19" s="83"/>
      <c r="AE19" s="87"/>
      <c r="AF19" s="45"/>
      <c r="AG19" s="45"/>
      <c r="AH19" s="59"/>
      <c r="AI19" s="59"/>
    </row>
    <row r="20" spans="1:35" x14ac:dyDescent="0.25">
      <c r="A20" t="s">
        <v>102</v>
      </c>
      <c r="B20" t="s">
        <v>103</v>
      </c>
      <c r="C20" s="124">
        <v>147</v>
      </c>
      <c r="D20" s="125">
        <v>77</v>
      </c>
      <c r="E20" s="125">
        <v>35</v>
      </c>
      <c r="F20" s="125">
        <v>35</v>
      </c>
      <c r="G20" s="125" t="s">
        <v>881</v>
      </c>
      <c r="H20" s="125">
        <v>35</v>
      </c>
      <c r="I20" s="159">
        <v>0.06</v>
      </c>
      <c r="J20" s="161">
        <v>25</v>
      </c>
      <c r="K20" s="159">
        <v>0.08</v>
      </c>
      <c r="L20" s="160">
        <v>0</v>
      </c>
      <c r="M20" s="83" t="str">
        <f t="shared" si="0"/>
        <v>RVV</v>
      </c>
      <c r="N20" s="89">
        <v>4</v>
      </c>
      <c r="O20" s="183">
        <v>9.9999997764825821E-3</v>
      </c>
      <c r="P20" s="183">
        <v>0.25999999046325684</v>
      </c>
      <c r="Q20" s="183">
        <v>7.000000022351742E-2</v>
      </c>
      <c r="R20" s="185">
        <v>0.17999999046325682</v>
      </c>
      <c r="S20" s="83"/>
      <c r="T20" s="82"/>
      <c r="U20" s="83"/>
      <c r="V20" s="82"/>
      <c r="W20" s="83"/>
      <c r="AA20" s="83"/>
      <c r="AB20" s="91"/>
      <c r="AC20" s="83"/>
      <c r="AD20" s="83"/>
      <c r="AE20" s="87"/>
      <c r="AF20" s="45"/>
      <c r="AG20" s="45"/>
      <c r="AH20" s="59"/>
      <c r="AI20" s="59"/>
    </row>
    <row r="21" spans="1:35" x14ac:dyDescent="0.25">
      <c r="A21" t="s">
        <v>125</v>
      </c>
      <c r="B21" t="s">
        <v>126</v>
      </c>
      <c r="C21" s="124">
        <v>841</v>
      </c>
      <c r="D21" s="125">
        <v>336</v>
      </c>
      <c r="E21" s="125">
        <v>286</v>
      </c>
      <c r="F21" s="125">
        <v>219</v>
      </c>
      <c r="G21" s="125" t="s">
        <v>228</v>
      </c>
      <c r="H21" s="125">
        <v>212</v>
      </c>
      <c r="I21" s="159">
        <v>0.13</v>
      </c>
      <c r="J21" s="161">
        <v>161</v>
      </c>
      <c r="K21" s="159">
        <v>0.66</v>
      </c>
      <c r="L21" s="160">
        <v>1.7999999999999999E-2</v>
      </c>
      <c r="M21" s="83" t="str">
        <f t="shared" si="0"/>
        <v>RXR</v>
      </c>
      <c r="N21" s="89">
        <v>27</v>
      </c>
      <c r="O21" s="183">
        <v>0.57999998331069946</v>
      </c>
      <c r="P21" s="183">
        <v>0.73000001907348633</v>
      </c>
      <c r="Q21" s="183">
        <v>8.0000016689300568E-2</v>
      </c>
      <c r="R21" s="185">
        <v>7.0000019073486297E-2</v>
      </c>
      <c r="S21" s="85"/>
      <c r="T21" s="82"/>
      <c r="U21" s="83"/>
      <c r="V21" s="82"/>
      <c r="W21" s="83"/>
      <c r="Y21" s="45"/>
      <c r="AA21" s="83"/>
      <c r="AB21" s="91"/>
      <c r="AC21" s="83"/>
      <c r="AD21" s="83"/>
      <c r="AE21" s="87"/>
      <c r="AF21" s="45"/>
      <c r="AG21" s="45"/>
      <c r="AH21" s="59"/>
      <c r="AI21" s="59"/>
    </row>
    <row r="22" spans="1:35" x14ac:dyDescent="0.25">
      <c r="A22" t="s">
        <v>29</v>
      </c>
      <c r="B22" t="s">
        <v>170</v>
      </c>
      <c r="C22" s="124">
        <v>270</v>
      </c>
      <c r="D22" s="125">
        <v>118</v>
      </c>
      <c r="E22" s="125">
        <v>52</v>
      </c>
      <c r="F22" s="125">
        <v>100</v>
      </c>
      <c r="G22" s="125" t="s">
        <v>882</v>
      </c>
      <c r="H22" s="125">
        <v>100</v>
      </c>
      <c r="I22" s="159">
        <v>0.11</v>
      </c>
      <c r="J22" s="161">
        <v>74</v>
      </c>
      <c r="K22" s="159">
        <v>0</v>
      </c>
      <c r="L22" s="160">
        <v>0</v>
      </c>
      <c r="M22" s="83" t="str">
        <f t="shared" si="0"/>
        <v>RDE</v>
      </c>
      <c r="N22" s="89">
        <v>2</v>
      </c>
      <c r="O22" s="183">
        <v>0</v>
      </c>
      <c r="P22" s="183">
        <v>5.000000074505806E-2</v>
      </c>
      <c r="Q22" s="183">
        <v>0</v>
      </c>
      <c r="R22" s="185">
        <v>5.000000074505806E-2</v>
      </c>
      <c r="S22" s="83"/>
      <c r="T22" s="82"/>
      <c r="U22" s="83"/>
      <c r="V22" s="82"/>
      <c r="W22" s="83"/>
      <c r="AA22" s="83"/>
      <c r="AB22" s="91"/>
      <c r="AC22" s="83"/>
      <c r="AD22" s="83"/>
      <c r="AE22" s="87"/>
      <c r="AF22" s="45"/>
      <c r="AG22" s="45"/>
      <c r="AH22" s="59"/>
      <c r="AI22" s="59"/>
    </row>
    <row r="23" spans="1:35" x14ac:dyDescent="0.25">
      <c r="A23" t="s">
        <v>30</v>
      </c>
      <c r="B23" t="s">
        <v>31</v>
      </c>
      <c r="C23" s="124">
        <v>299</v>
      </c>
      <c r="D23" s="125">
        <v>168</v>
      </c>
      <c r="E23" s="125">
        <v>129</v>
      </c>
      <c r="F23" s="125" t="s">
        <v>369</v>
      </c>
      <c r="G23" s="125" t="s">
        <v>284</v>
      </c>
      <c r="H23" s="125" t="s">
        <v>284</v>
      </c>
      <c r="I23" s="159" t="s">
        <v>284</v>
      </c>
      <c r="J23" s="125" t="s">
        <v>284</v>
      </c>
      <c r="K23" s="159" t="s">
        <v>284</v>
      </c>
      <c r="L23" s="160">
        <v>1.4E-2</v>
      </c>
      <c r="M23" s="83" t="str">
        <f t="shared" si="0"/>
        <v>RDU</v>
      </c>
      <c r="N23" s="89">
        <v>63</v>
      </c>
      <c r="O23" s="183" t="e">
        <v>#VALUE!</v>
      </c>
      <c r="P23" s="84" t="e">
        <v>#VALUE!</v>
      </c>
      <c r="Q23" s="183" t="e">
        <v>#VALUE!</v>
      </c>
      <c r="R23" s="185" t="e">
        <v>#VALUE!</v>
      </c>
      <c r="S23" s="85"/>
      <c r="T23" s="82"/>
      <c r="U23" s="83"/>
      <c r="V23" s="82"/>
      <c r="W23" s="83"/>
      <c r="Y23" s="45"/>
      <c r="AA23" s="85"/>
      <c r="AB23" s="90"/>
      <c r="AC23" s="83"/>
      <c r="AD23" s="83"/>
      <c r="AE23" s="87"/>
      <c r="AF23" s="45"/>
      <c r="AG23" s="45"/>
      <c r="AH23" s="59"/>
      <c r="AI23" s="59"/>
    </row>
    <row r="24" spans="1:35" x14ac:dyDescent="0.25">
      <c r="A24" t="s">
        <v>81</v>
      </c>
      <c r="B24" t="s">
        <v>82</v>
      </c>
      <c r="C24" s="124">
        <v>68</v>
      </c>
      <c r="D24" s="125">
        <v>47</v>
      </c>
      <c r="E24" s="125">
        <v>15</v>
      </c>
      <c r="F24" s="125" t="s">
        <v>369</v>
      </c>
      <c r="G24" s="125" t="s">
        <v>284</v>
      </c>
      <c r="H24" s="125" t="s">
        <v>284</v>
      </c>
      <c r="I24" s="159" t="s">
        <v>284</v>
      </c>
      <c r="J24" s="125" t="s">
        <v>284</v>
      </c>
      <c r="K24" s="159" t="s">
        <v>284</v>
      </c>
      <c r="L24" s="160">
        <v>6.2E-2</v>
      </c>
      <c r="M24" s="83" t="str">
        <f t="shared" si="0"/>
        <v>RR7</v>
      </c>
      <c r="N24" s="89">
        <v>64</v>
      </c>
      <c r="O24" s="183" t="e">
        <v>#VALUE!</v>
      </c>
      <c r="P24" s="84" t="e">
        <v>#VALUE!</v>
      </c>
      <c r="Q24" s="183" t="e">
        <v>#VALUE!</v>
      </c>
      <c r="R24" s="185" t="e">
        <v>#VALUE!</v>
      </c>
      <c r="S24" s="83"/>
      <c r="T24" s="82"/>
      <c r="U24" s="83"/>
      <c r="V24" s="82"/>
      <c r="W24" s="83"/>
      <c r="AA24" s="83"/>
      <c r="AB24" s="91"/>
      <c r="AC24" s="83"/>
      <c r="AD24" s="83"/>
      <c r="AE24" s="87"/>
      <c r="AF24" s="45"/>
      <c r="AG24" s="45"/>
      <c r="AH24" s="59"/>
      <c r="AI24" s="59"/>
    </row>
    <row r="25" spans="1:35" x14ac:dyDescent="0.25">
      <c r="A25" t="s">
        <v>93</v>
      </c>
      <c r="B25" t="s">
        <v>94</v>
      </c>
      <c r="C25" s="124">
        <v>135</v>
      </c>
      <c r="D25" s="125">
        <v>44</v>
      </c>
      <c r="E25" s="125">
        <v>60</v>
      </c>
      <c r="F25" s="125">
        <v>31</v>
      </c>
      <c r="G25" s="125" t="s">
        <v>881</v>
      </c>
      <c r="H25" s="125">
        <v>30</v>
      </c>
      <c r="I25" s="159">
        <v>0.03</v>
      </c>
      <c r="J25" s="161">
        <v>21</v>
      </c>
      <c r="K25" s="159">
        <v>0.24</v>
      </c>
      <c r="L25" s="160">
        <v>2.7E-2</v>
      </c>
      <c r="M25" s="83" t="str">
        <f t="shared" si="0"/>
        <v>RTE</v>
      </c>
      <c r="N25" s="89">
        <v>8</v>
      </c>
      <c r="O25" s="183">
        <v>7.9999998211860657E-2</v>
      </c>
      <c r="P25" s="183">
        <v>0.4699999988079071</v>
      </c>
      <c r="Q25" s="183">
        <v>0.16000000178813933</v>
      </c>
      <c r="R25" s="185">
        <v>0.22999999880790711</v>
      </c>
      <c r="S25" s="85"/>
      <c r="T25" s="82"/>
      <c r="U25" s="83"/>
      <c r="V25" s="82"/>
      <c r="W25" s="83"/>
      <c r="Y25" s="45"/>
      <c r="Z25" s="45"/>
      <c r="AA25" s="85"/>
      <c r="AB25" s="90"/>
      <c r="AC25" s="83"/>
      <c r="AD25" s="83"/>
      <c r="AE25" s="87"/>
      <c r="AF25" s="45"/>
      <c r="AG25" s="45"/>
      <c r="AH25" s="59"/>
      <c r="AI25" s="59"/>
    </row>
    <row r="26" spans="1:35" x14ac:dyDescent="0.25">
      <c r="A26" t="s">
        <v>213</v>
      </c>
      <c r="B26" t="s">
        <v>280</v>
      </c>
      <c r="C26" s="124">
        <v>33</v>
      </c>
      <c r="D26" s="125">
        <v>17</v>
      </c>
      <c r="E26" s="125" t="s">
        <v>369</v>
      </c>
      <c r="F26" s="125">
        <v>14</v>
      </c>
      <c r="G26" s="125" t="s">
        <v>216</v>
      </c>
      <c r="H26" s="125">
        <v>14</v>
      </c>
      <c r="I26" s="159">
        <v>0</v>
      </c>
      <c r="J26" s="161">
        <v>14</v>
      </c>
      <c r="K26" s="159">
        <v>1</v>
      </c>
      <c r="L26" s="160">
        <v>0</v>
      </c>
      <c r="M26" s="83" t="str">
        <f t="shared" si="0"/>
        <v>RN3</v>
      </c>
      <c r="N26" s="89">
        <v>52</v>
      </c>
      <c r="O26" s="183">
        <v>0.76999998092651367</v>
      </c>
      <c r="P26" s="183">
        <v>1</v>
      </c>
      <c r="Q26" s="183">
        <v>0.23000001907348633</v>
      </c>
      <c r="R26" s="185">
        <v>0</v>
      </c>
      <c r="S26" s="83"/>
      <c r="T26" s="82"/>
      <c r="U26" s="83"/>
      <c r="V26" s="82"/>
      <c r="W26" s="83"/>
      <c r="AA26" s="83"/>
      <c r="AB26" s="91"/>
      <c r="AC26" s="83"/>
      <c r="AD26" s="83"/>
      <c r="AE26" s="87"/>
      <c r="AF26" s="45"/>
      <c r="AG26" s="45"/>
      <c r="AH26" s="59"/>
      <c r="AI26" s="59"/>
    </row>
    <row r="27" spans="1:35" x14ac:dyDescent="0.25">
      <c r="A27" t="s">
        <v>50</v>
      </c>
      <c r="B27" t="s">
        <v>51</v>
      </c>
      <c r="C27" s="124">
        <v>561</v>
      </c>
      <c r="D27" s="125">
        <v>116</v>
      </c>
      <c r="E27" s="125">
        <v>100</v>
      </c>
      <c r="F27" s="125">
        <v>345</v>
      </c>
      <c r="G27" s="125" t="s">
        <v>552</v>
      </c>
      <c r="H27" s="125">
        <v>336</v>
      </c>
      <c r="I27" s="159">
        <v>0.15</v>
      </c>
      <c r="J27" s="161">
        <v>206</v>
      </c>
      <c r="K27" s="159">
        <v>0.08</v>
      </c>
      <c r="L27" s="160">
        <v>1.9E-2</v>
      </c>
      <c r="M27" s="83" t="str">
        <f t="shared" si="0"/>
        <v>RJ1</v>
      </c>
      <c r="N27" s="89">
        <v>5</v>
      </c>
      <c r="O27" s="183">
        <v>5.000000074505806E-2</v>
      </c>
      <c r="P27" s="183">
        <v>0.12999999523162842</v>
      </c>
      <c r="Q27" s="183">
        <v>2.9999999254941942E-2</v>
      </c>
      <c r="R27" s="185">
        <v>4.9999995231628416E-2</v>
      </c>
      <c r="S27" s="85"/>
      <c r="T27" s="82"/>
      <c r="U27" s="83"/>
      <c r="V27" s="82"/>
      <c r="W27" s="83"/>
      <c r="Y27" s="45"/>
      <c r="AA27" s="85"/>
      <c r="AB27" s="90"/>
      <c r="AC27" s="83"/>
      <c r="AD27" s="83"/>
      <c r="AE27" s="87"/>
      <c r="AF27" s="45"/>
      <c r="AG27" s="45"/>
      <c r="AH27" s="59"/>
      <c r="AI27" s="59"/>
    </row>
    <row r="28" spans="1:35" x14ac:dyDescent="0.25">
      <c r="A28" t="s">
        <v>214</v>
      </c>
      <c r="B28" t="s">
        <v>281</v>
      </c>
      <c r="C28" s="124">
        <v>69</v>
      </c>
      <c r="D28" s="125">
        <v>33</v>
      </c>
      <c r="E28" s="125">
        <v>21</v>
      </c>
      <c r="F28" s="125">
        <v>15</v>
      </c>
      <c r="G28" s="125" t="s">
        <v>218</v>
      </c>
      <c r="H28" s="125">
        <v>15</v>
      </c>
      <c r="I28" s="159">
        <v>7.0000000000000007E-2</v>
      </c>
      <c r="J28" s="161">
        <v>15</v>
      </c>
      <c r="K28" s="159">
        <v>0.53</v>
      </c>
      <c r="L28" s="160">
        <v>3.7999999999999999E-2</v>
      </c>
      <c r="M28" s="83" t="str">
        <f t="shared" si="0"/>
        <v>RN5</v>
      </c>
      <c r="N28" s="89">
        <v>21</v>
      </c>
      <c r="O28" s="183">
        <v>0.27000001072883606</v>
      </c>
      <c r="P28" s="183">
        <v>0.79000002145767212</v>
      </c>
      <c r="Q28" s="183">
        <v>0.25999998927116397</v>
      </c>
      <c r="R28" s="185">
        <v>0.26000002145767209</v>
      </c>
      <c r="S28" s="83"/>
      <c r="T28" s="82"/>
      <c r="U28" s="83"/>
      <c r="V28" s="82"/>
      <c r="W28" s="83"/>
      <c r="AA28" s="83"/>
      <c r="AB28" s="91"/>
      <c r="AC28" s="83"/>
      <c r="AD28" s="83"/>
      <c r="AE28" s="87"/>
      <c r="AF28" s="45"/>
      <c r="AG28" s="45"/>
      <c r="AH28" s="59"/>
      <c r="AI28" s="59"/>
    </row>
    <row r="29" spans="1:35" x14ac:dyDescent="0.25">
      <c r="A29" t="s">
        <v>106</v>
      </c>
      <c r="B29" t="s">
        <v>356</v>
      </c>
      <c r="C29" s="124">
        <v>1161</v>
      </c>
      <c r="D29" s="125">
        <v>471</v>
      </c>
      <c r="E29" s="125">
        <v>304</v>
      </c>
      <c r="F29" s="125">
        <v>386</v>
      </c>
      <c r="G29" s="125" t="s">
        <v>370</v>
      </c>
      <c r="H29" s="125">
        <v>377</v>
      </c>
      <c r="I29" s="159">
        <v>0.11</v>
      </c>
      <c r="J29" s="161">
        <v>275</v>
      </c>
      <c r="K29" s="159">
        <v>0.65</v>
      </c>
      <c r="L29" s="160">
        <v>1.9E-2</v>
      </c>
      <c r="M29" s="83" t="str">
        <f t="shared" si="0"/>
        <v>RWA</v>
      </c>
      <c r="N29" s="89">
        <v>26</v>
      </c>
      <c r="O29" s="183">
        <v>0.5899999737739563</v>
      </c>
      <c r="P29" s="183">
        <v>0.69999998807907104</v>
      </c>
      <c r="Q29" s="183">
        <v>6.0000026226043723E-2</v>
      </c>
      <c r="R29" s="185">
        <v>4.9999988079071023E-2</v>
      </c>
      <c r="S29" s="83"/>
      <c r="T29" s="82"/>
      <c r="U29" s="83"/>
      <c r="V29" s="82"/>
      <c r="W29" s="83"/>
      <c r="AA29" s="83"/>
      <c r="AB29" s="91"/>
      <c r="AC29" s="83"/>
      <c r="AD29" s="83"/>
      <c r="AE29" s="87"/>
      <c r="AF29" s="45"/>
      <c r="AG29" s="45"/>
      <c r="AH29" s="59"/>
      <c r="AI29" s="59"/>
    </row>
    <row r="30" spans="1:35" x14ac:dyDescent="0.25">
      <c r="A30" t="s">
        <v>129</v>
      </c>
      <c r="B30" t="s">
        <v>130</v>
      </c>
      <c r="C30" s="124">
        <v>467</v>
      </c>
      <c r="D30" s="125">
        <v>146</v>
      </c>
      <c r="E30" s="125">
        <v>138</v>
      </c>
      <c r="F30" s="125">
        <v>183</v>
      </c>
      <c r="G30" s="125" t="s">
        <v>223</v>
      </c>
      <c r="H30" s="125">
        <v>180</v>
      </c>
      <c r="I30" s="159">
        <v>0.17</v>
      </c>
      <c r="J30" s="161">
        <v>120</v>
      </c>
      <c r="K30" s="159">
        <v>0.55000000000000004</v>
      </c>
      <c r="L30" s="160">
        <v>1.0999999999999999E-2</v>
      </c>
      <c r="M30" s="83" t="str">
        <f t="shared" si="0"/>
        <v>RYJ</v>
      </c>
      <c r="N30" s="89">
        <v>22</v>
      </c>
      <c r="O30" s="183">
        <v>0.46000000834465027</v>
      </c>
      <c r="P30" s="183">
        <v>0.63999998569488525</v>
      </c>
      <c r="Q30" s="183">
        <v>8.9999991655349776E-2</v>
      </c>
      <c r="R30" s="185">
        <v>8.9999985694885209E-2</v>
      </c>
      <c r="S30" s="85"/>
      <c r="T30" s="82"/>
      <c r="U30" s="83"/>
      <c r="V30" s="82"/>
      <c r="W30" s="83"/>
      <c r="Y30" s="45"/>
      <c r="AA30" s="83"/>
      <c r="AB30" s="91"/>
      <c r="AC30" s="83"/>
      <c r="AD30" s="83"/>
      <c r="AE30" s="87"/>
      <c r="AF30" s="45"/>
      <c r="AG30" s="45"/>
      <c r="AH30" s="59"/>
      <c r="AI30" s="59"/>
    </row>
    <row r="31" spans="1:35" x14ac:dyDescent="0.25">
      <c r="A31" t="s">
        <v>58</v>
      </c>
      <c r="B31" t="s">
        <v>59</v>
      </c>
      <c r="C31" s="124">
        <v>252</v>
      </c>
      <c r="D31" s="125">
        <v>160</v>
      </c>
      <c r="E31" s="125">
        <v>42</v>
      </c>
      <c r="F31" s="125">
        <v>50</v>
      </c>
      <c r="G31" s="125" t="s">
        <v>883</v>
      </c>
      <c r="H31" s="125">
        <v>50</v>
      </c>
      <c r="I31" s="159">
        <v>0.14000000000000001</v>
      </c>
      <c r="J31" s="161">
        <v>40</v>
      </c>
      <c r="K31" s="159">
        <v>0.43</v>
      </c>
      <c r="L31" s="160">
        <v>1.7999999999999999E-2</v>
      </c>
      <c r="M31" s="83" t="str">
        <f t="shared" si="0"/>
        <v>RJZ</v>
      </c>
      <c r="N31" s="89">
        <v>13</v>
      </c>
      <c r="O31" s="183">
        <v>0.27000001072883606</v>
      </c>
      <c r="P31" s="183">
        <v>0.5899999737739563</v>
      </c>
      <c r="Q31" s="183">
        <v>0.15999998927116393</v>
      </c>
      <c r="R31" s="185">
        <v>0.15999997377395631</v>
      </c>
      <c r="S31" s="83"/>
      <c r="T31" s="82"/>
      <c r="U31" s="83"/>
      <c r="V31" s="82"/>
      <c r="W31" s="83"/>
      <c r="AA31" s="83"/>
      <c r="AB31" s="91"/>
      <c r="AC31" s="83"/>
      <c r="AD31" s="83"/>
      <c r="AE31" s="87"/>
      <c r="AF31" s="45"/>
      <c r="AG31" s="45"/>
      <c r="AH31" s="59"/>
      <c r="AI31" s="59"/>
    </row>
    <row r="32" spans="1:35" x14ac:dyDescent="0.25">
      <c r="A32" t="s">
        <v>123</v>
      </c>
      <c r="B32" t="s">
        <v>124</v>
      </c>
      <c r="C32" s="124">
        <v>913</v>
      </c>
      <c r="D32" s="125">
        <v>411</v>
      </c>
      <c r="E32" s="125">
        <v>281</v>
      </c>
      <c r="F32" s="125">
        <v>221</v>
      </c>
      <c r="G32" s="125" t="s">
        <v>884</v>
      </c>
      <c r="H32" s="125">
        <v>217</v>
      </c>
      <c r="I32" s="159">
        <v>7.0000000000000007E-2</v>
      </c>
      <c r="J32" s="161">
        <v>132</v>
      </c>
      <c r="K32" s="159">
        <v>0.73</v>
      </c>
      <c r="L32" s="160">
        <v>2.4E-2</v>
      </c>
      <c r="M32" s="83" t="str">
        <f t="shared" si="0"/>
        <v>RXN</v>
      </c>
      <c r="N32" s="89">
        <v>34</v>
      </c>
      <c r="O32" s="183">
        <v>0.64999997615814209</v>
      </c>
      <c r="P32" s="183">
        <v>0.81000000238418579</v>
      </c>
      <c r="Q32" s="183">
        <v>8.0000023841857892E-2</v>
      </c>
      <c r="R32" s="185">
        <v>8.0000002384185809E-2</v>
      </c>
      <c r="S32" s="85"/>
      <c r="T32" s="82"/>
      <c r="U32" s="83"/>
      <c r="V32" s="82"/>
      <c r="W32" s="83"/>
      <c r="Y32" s="45"/>
      <c r="Z32" s="45"/>
      <c r="AA32" s="83"/>
      <c r="AB32" s="91"/>
      <c r="AC32" s="83"/>
      <c r="AD32" s="83"/>
      <c r="AE32" s="87"/>
      <c r="AF32" s="45"/>
      <c r="AG32" s="45"/>
      <c r="AH32" s="59"/>
      <c r="AI32" s="59"/>
    </row>
    <row r="33" spans="1:35" x14ac:dyDescent="0.25">
      <c r="A33" t="s">
        <v>83</v>
      </c>
      <c r="B33" t="s">
        <v>84</v>
      </c>
      <c r="C33" s="124">
        <v>39</v>
      </c>
      <c r="D33" s="125">
        <v>34</v>
      </c>
      <c r="E33" s="125" t="s">
        <v>369</v>
      </c>
      <c r="F33" s="125" t="s">
        <v>369</v>
      </c>
      <c r="G33" s="125" t="s">
        <v>284</v>
      </c>
      <c r="H33" s="125" t="s">
        <v>284</v>
      </c>
      <c r="I33" s="159" t="s">
        <v>284</v>
      </c>
      <c r="J33" s="125" t="s">
        <v>284</v>
      </c>
      <c r="K33" s="159" t="s">
        <v>284</v>
      </c>
      <c r="L33" s="160">
        <v>0</v>
      </c>
      <c r="M33" s="83" t="str">
        <f t="shared" si="0"/>
        <v>RR8</v>
      </c>
      <c r="N33" s="89">
        <v>65</v>
      </c>
      <c r="O33" s="183" t="e">
        <v>#VALUE!</v>
      </c>
      <c r="P33" s="84" t="e">
        <v>#VALUE!</v>
      </c>
      <c r="Q33" s="183" t="e">
        <v>#VALUE!</v>
      </c>
      <c r="R33" s="185" t="e">
        <v>#VALUE!</v>
      </c>
      <c r="S33" s="83"/>
      <c r="T33" s="82"/>
      <c r="U33" s="83"/>
      <c r="V33" s="82"/>
      <c r="W33" s="83"/>
      <c r="AA33" s="83"/>
      <c r="AB33" s="91"/>
      <c r="AC33" s="83"/>
      <c r="AD33" s="83"/>
      <c r="AE33" s="87"/>
      <c r="AF33" s="45"/>
      <c r="AG33" s="45"/>
      <c r="AH33" s="59"/>
      <c r="AI33" s="59"/>
    </row>
    <row r="34" spans="1:35" x14ac:dyDescent="0.25">
      <c r="A34" t="s">
        <v>34</v>
      </c>
      <c r="B34" t="s">
        <v>357</v>
      </c>
      <c r="C34" s="124">
        <v>381</v>
      </c>
      <c r="D34" s="125">
        <v>57</v>
      </c>
      <c r="E34" s="125">
        <v>151</v>
      </c>
      <c r="F34" s="125">
        <v>173</v>
      </c>
      <c r="G34" s="125" t="s">
        <v>885</v>
      </c>
      <c r="H34" s="125">
        <v>170</v>
      </c>
      <c r="I34" s="159">
        <v>0.11</v>
      </c>
      <c r="J34" s="161">
        <v>103</v>
      </c>
      <c r="K34" s="159">
        <v>0.43</v>
      </c>
      <c r="L34" s="160">
        <v>1.2E-2</v>
      </c>
      <c r="M34" s="83" t="str">
        <f t="shared" si="0"/>
        <v>REM</v>
      </c>
      <c r="N34" s="89">
        <v>14</v>
      </c>
      <c r="O34" s="183">
        <v>0.33000001311302185</v>
      </c>
      <c r="P34" s="183">
        <v>0.52999997138977051</v>
      </c>
      <c r="Q34" s="183">
        <v>9.9999986886978143E-2</v>
      </c>
      <c r="R34" s="185">
        <v>9.9999971389770514E-2</v>
      </c>
      <c r="S34" s="83"/>
      <c r="T34" s="82"/>
      <c r="U34" s="83"/>
      <c r="V34" s="82"/>
      <c r="W34" s="83"/>
      <c r="AA34" s="83"/>
      <c r="AB34" s="91"/>
      <c r="AC34" s="83"/>
      <c r="AD34" s="83"/>
      <c r="AE34" s="87"/>
      <c r="AF34" s="45"/>
      <c r="AG34" s="45"/>
      <c r="AH34" s="59"/>
      <c r="AI34" s="59"/>
    </row>
    <row r="35" spans="1:35" x14ac:dyDescent="0.25">
      <c r="A35" t="s">
        <v>12</v>
      </c>
      <c r="B35" t="s">
        <v>358</v>
      </c>
      <c r="C35" s="124">
        <v>465</v>
      </c>
      <c r="D35" s="125">
        <v>169</v>
      </c>
      <c r="E35" s="125">
        <v>125</v>
      </c>
      <c r="F35" s="125">
        <v>171</v>
      </c>
      <c r="G35" s="125" t="s">
        <v>886</v>
      </c>
      <c r="H35" s="125">
        <v>162</v>
      </c>
      <c r="I35" s="159">
        <v>0.12</v>
      </c>
      <c r="J35" s="161">
        <v>89</v>
      </c>
      <c r="K35" s="159">
        <v>0.61</v>
      </c>
      <c r="L35" s="160">
        <v>3.4000000000000002E-2</v>
      </c>
      <c r="M35" s="83" t="str">
        <f t="shared" si="0"/>
        <v>R1K</v>
      </c>
      <c r="N35" s="89">
        <v>24</v>
      </c>
      <c r="O35" s="183">
        <v>0.5</v>
      </c>
      <c r="P35" s="183">
        <v>0.70999997854232788</v>
      </c>
      <c r="Q35" s="183">
        <v>0.10999999999999999</v>
      </c>
      <c r="R35" s="185">
        <v>9.9999978542327894E-2</v>
      </c>
      <c r="S35" s="83"/>
      <c r="T35" s="82"/>
      <c r="U35" s="83"/>
      <c r="V35" s="82"/>
      <c r="W35" s="83"/>
      <c r="AA35" s="83"/>
      <c r="AB35" s="91"/>
      <c r="AC35" s="83"/>
      <c r="AD35" s="83"/>
      <c r="AE35" s="87"/>
      <c r="AF35" s="45"/>
      <c r="AG35" s="45"/>
      <c r="AH35" s="59"/>
      <c r="AI35" s="59"/>
    </row>
    <row r="36" spans="1:35" x14ac:dyDescent="0.25">
      <c r="A36" t="s">
        <v>8</v>
      </c>
      <c r="B36" t="s">
        <v>9</v>
      </c>
      <c r="C36" s="124">
        <v>634</v>
      </c>
      <c r="D36" s="125">
        <v>242</v>
      </c>
      <c r="E36" s="125">
        <v>225</v>
      </c>
      <c r="F36" s="125">
        <v>167</v>
      </c>
      <c r="G36" s="125" t="s">
        <v>229</v>
      </c>
      <c r="H36" s="125">
        <v>165</v>
      </c>
      <c r="I36" s="159">
        <v>7.0000000000000007E-2</v>
      </c>
      <c r="J36" s="161">
        <v>114</v>
      </c>
      <c r="K36" s="159">
        <v>0.67</v>
      </c>
      <c r="L36" s="160">
        <v>1.9E-2</v>
      </c>
      <c r="M36" s="83" t="str">
        <f t="shared" si="0"/>
        <v>R0A</v>
      </c>
      <c r="N36" s="89">
        <v>28</v>
      </c>
      <c r="O36" s="183">
        <v>0.56999999284744263</v>
      </c>
      <c r="P36" s="183">
        <v>0.75</v>
      </c>
      <c r="Q36" s="183">
        <v>0.10000000715255741</v>
      </c>
      <c r="R36" s="185">
        <v>7.999999999999996E-2</v>
      </c>
      <c r="S36" s="85"/>
      <c r="T36" s="82"/>
      <c r="U36" s="83"/>
      <c r="V36" s="82"/>
      <c r="W36" s="83"/>
      <c r="Y36" s="45"/>
      <c r="Z36" s="45"/>
      <c r="AA36" s="85"/>
      <c r="AB36" s="90"/>
      <c r="AC36" s="83"/>
      <c r="AD36" s="83"/>
      <c r="AE36" s="87"/>
      <c r="AF36" s="45"/>
      <c r="AG36" s="45"/>
      <c r="AH36" s="59"/>
      <c r="AI36" s="59"/>
    </row>
    <row r="37" spans="1:35" x14ac:dyDescent="0.25">
      <c r="A37" t="s">
        <v>75</v>
      </c>
      <c r="B37" t="s">
        <v>76</v>
      </c>
      <c r="C37" s="140" t="e">
        <v>#N/A</v>
      </c>
      <c r="D37" s="125" t="s">
        <v>369</v>
      </c>
      <c r="E37" s="125" t="s">
        <v>369</v>
      </c>
      <c r="F37" s="125">
        <v>0</v>
      </c>
      <c r="G37" s="125" t="s">
        <v>284</v>
      </c>
      <c r="H37" s="125" t="s">
        <v>284</v>
      </c>
      <c r="I37" s="159" t="s">
        <v>284</v>
      </c>
      <c r="J37" s="125" t="s">
        <v>284</v>
      </c>
      <c r="K37" s="159" t="s">
        <v>284</v>
      </c>
      <c r="L37" s="160" t="s">
        <v>284</v>
      </c>
      <c r="M37" s="83" t="str">
        <f t="shared" si="0"/>
        <v>RPA</v>
      </c>
      <c r="N37" s="89">
        <v>66</v>
      </c>
      <c r="O37" s="183" t="e">
        <v>#VALUE!</v>
      </c>
      <c r="P37" s="84" t="e">
        <v>#VALUE!</v>
      </c>
      <c r="Q37" s="183" t="e">
        <v>#VALUE!</v>
      </c>
      <c r="R37" s="185" t="e">
        <v>#VALUE!</v>
      </c>
      <c r="S37" s="85"/>
      <c r="T37" s="82"/>
      <c r="U37" s="83"/>
      <c r="V37" s="82"/>
      <c r="W37" s="83"/>
      <c r="Y37" s="45"/>
      <c r="AA37" s="83"/>
      <c r="AB37" s="91"/>
      <c r="AC37" s="83"/>
      <c r="AD37" s="83"/>
      <c r="AE37" s="87"/>
      <c r="AF37" s="45"/>
      <c r="AG37" s="45"/>
      <c r="AH37" s="59"/>
      <c r="AI37" s="59"/>
    </row>
    <row r="38" spans="1:35" x14ac:dyDescent="0.25">
      <c r="A38" t="s">
        <v>17</v>
      </c>
      <c r="B38" t="s">
        <v>504</v>
      </c>
      <c r="C38" s="124">
        <v>190</v>
      </c>
      <c r="D38" s="125">
        <v>114</v>
      </c>
      <c r="E38" s="125">
        <v>49</v>
      </c>
      <c r="F38" s="125">
        <v>27</v>
      </c>
      <c r="G38" s="125" t="s">
        <v>271</v>
      </c>
      <c r="H38" s="125">
        <v>27</v>
      </c>
      <c r="I38" s="159">
        <v>0.04</v>
      </c>
      <c r="J38" s="161">
        <v>23</v>
      </c>
      <c r="K38" s="159">
        <v>0.52</v>
      </c>
      <c r="L38" s="160">
        <v>0</v>
      </c>
      <c r="M38" s="83" t="str">
        <f t="shared" si="0"/>
        <v>RAJ</v>
      </c>
      <c r="N38" s="89">
        <v>19</v>
      </c>
      <c r="O38" s="183">
        <v>0.31000000238418579</v>
      </c>
      <c r="P38" s="183">
        <v>0.73000001907348633</v>
      </c>
      <c r="Q38" s="183">
        <v>0.20999999761581423</v>
      </c>
      <c r="R38" s="185">
        <v>0.21000001907348631</v>
      </c>
      <c r="S38" s="85"/>
      <c r="T38" s="82"/>
      <c r="U38" s="83"/>
      <c r="V38" s="82"/>
      <c r="W38" s="83"/>
      <c r="Y38" s="45"/>
      <c r="AA38" s="85"/>
      <c r="AB38" s="90"/>
      <c r="AC38" s="83"/>
      <c r="AD38" s="83"/>
      <c r="AE38" s="87"/>
      <c r="AF38" s="45"/>
      <c r="AG38" s="45"/>
      <c r="AH38" s="59"/>
      <c r="AI38" s="59"/>
    </row>
    <row r="39" spans="1:35" x14ac:dyDescent="0.25">
      <c r="A39" t="s">
        <v>121</v>
      </c>
      <c r="B39" t="s">
        <v>122</v>
      </c>
      <c r="C39" s="124">
        <v>114</v>
      </c>
      <c r="D39" s="125">
        <v>62</v>
      </c>
      <c r="E39" s="125">
        <v>29</v>
      </c>
      <c r="F39" s="125">
        <v>23</v>
      </c>
      <c r="G39" s="125" t="s">
        <v>218</v>
      </c>
      <c r="H39" s="125">
        <v>23</v>
      </c>
      <c r="I39" s="159">
        <v>0.13</v>
      </c>
      <c r="J39" s="161">
        <v>21</v>
      </c>
      <c r="K39" s="159">
        <v>0.67</v>
      </c>
      <c r="L39" s="160">
        <v>0</v>
      </c>
      <c r="M39" s="83" t="str">
        <f t="shared" si="0"/>
        <v>RXF</v>
      </c>
      <c r="N39" s="89">
        <v>29</v>
      </c>
      <c r="O39" s="183">
        <v>0.43000000715255737</v>
      </c>
      <c r="P39" s="183">
        <v>0.85000002384185791</v>
      </c>
      <c r="Q39" s="183">
        <v>0.23999999284744267</v>
      </c>
      <c r="R39" s="185">
        <v>0.18000002384185787</v>
      </c>
      <c r="S39" s="85"/>
      <c r="T39" s="82"/>
      <c r="U39" s="83"/>
      <c r="V39" s="82"/>
      <c r="W39" s="83"/>
      <c r="Y39" s="45"/>
      <c r="Z39" s="45"/>
      <c r="AA39" s="85"/>
      <c r="AB39" s="90"/>
      <c r="AC39" s="83"/>
      <c r="AD39" s="83"/>
      <c r="AE39" s="87"/>
      <c r="AF39" s="45"/>
      <c r="AG39" s="45"/>
      <c r="AH39" s="59"/>
      <c r="AI39" s="59"/>
    </row>
    <row r="40" spans="1:35" x14ac:dyDescent="0.25">
      <c r="A40" t="s">
        <v>212</v>
      </c>
      <c r="B40" t="s">
        <v>359</v>
      </c>
      <c r="C40" s="124">
        <v>29</v>
      </c>
      <c r="D40" s="125">
        <v>22</v>
      </c>
      <c r="E40" s="125" t="s">
        <v>369</v>
      </c>
      <c r="F40" s="125">
        <v>0</v>
      </c>
      <c r="G40" s="125" t="s">
        <v>284</v>
      </c>
      <c r="H40" s="125" t="s">
        <v>284</v>
      </c>
      <c r="I40" s="159" t="s">
        <v>284</v>
      </c>
      <c r="J40" s="125" t="s">
        <v>284</v>
      </c>
      <c r="K40" s="159" t="s">
        <v>284</v>
      </c>
      <c r="L40" s="160">
        <v>0</v>
      </c>
      <c r="M40" s="83" t="str">
        <f t="shared" si="0"/>
        <v>RD8</v>
      </c>
      <c r="N40" s="89">
        <v>67</v>
      </c>
      <c r="O40" s="183" t="e">
        <v>#VALUE!</v>
      </c>
      <c r="P40" s="84" t="e">
        <v>#VALUE!</v>
      </c>
      <c r="Q40" s="183" t="e">
        <v>#VALUE!</v>
      </c>
      <c r="R40" s="185" t="e">
        <v>#VALUE!</v>
      </c>
      <c r="S40" s="83"/>
      <c r="T40" s="82"/>
      <c r="U40" s="83"/>
      <c r="V40" s="82"/>
      <c r="W40" s="83"/>
      <c r="AA40" s="83"/>
      <c r="AB40" s="91"/>
      <c r="AC40" s="83"/>
      <c r="AD40" s="83"/>
      <c r="AE40" s="87"/>
      <c r="AF40" s="45"/>
      <c r="AG40" s="45"/>
      <c r="AH40" s="59"/>
      <c r="AI40" s="59"/>
    </row>
    <row r="41" spans="1:35" x14ac:dyDescent="0.25">
      <c r="A41" t="s">
        <v>91</v>
      </c>
      <c r="B41" t="s">
        <v>92</v>
      </c>
      <c r="C41" s="124">
        <v>612</v>
      </c>
      <c r="D41" s="125">
        <v>177</v>
      </c>
      <c r="E41" s="125">
        <v>214</v>
      </c>
      <c r="F41" s="125">
        <v>221</v>
      </c>
      <c r="G41" s="125" t="s">
        <v>215</v>
      </c>
      <c r="H41" s="125">
        <v>217</v>
      </c>
      <c r="I41" s="159">
        <v>0.13</v>
      </c>
      <c r="J41" s="161">
        <v>146</v>
      </c>
      <c r="K41" s="159">
        <v>0.81</v>
      </c>
      <c r="L41" s="160">
        <v>2.5000000000000001E-2</v>
      </c>
      <c r="M41" s="83" t="str">
        <f t="shared" si="0"/>
        <v>RTD</v>
      </c>
      <c r="N41" s="89">
        <v>42</v>
      </c>
      <c r="O41" s="183">
        <v>0.73000001907348633</v>
      </c>
      <c r="P41" s="183">
        <v>0.87000000476837158</v>
      </c>
      <c r="Q41" s="183">
        <v>7.9999980926513725E-2</v>
      </c>
      <c r="R41" s="185">
        <v>6.0000004768371529E-2</v>
      </c>
      <c r="S41" s="83"/>
      <c r="T41" s="82"/>
      <c r="U41" s="83"/>
      <c r="V41" s="82"/>
      <c r="W41" s="83"/>
      <c r="Y41" s="45"/>
      <c r="Z41" s="45"/>
      <c r="AA41" s="83"/>
      <c r="AB41" s="91"/>
      <c r="AC41" s="83"/>
      <c r="AD41" s="83"/>
      <c r="AE41" s="87"/>
      <c r="AF41" s="45"/>
      <c r="AG41" s="45"/>
      <c r="AH41" s="59"/>
      <c r="AI41" s="59"/>
    </row>
    <row r="42" spans="1:35" x14ac:dyDescent="0.25">
      <c r="A42" t="s">
        <v>131</v>
      </c>
      <c r="B42" t="s">
        <v>132</v>
      </c>
      <c r="C42" s="124">
        <v>0</v>
      </c>
      <c r="D42" s="125">
        <v>0</v>
      </c>
      <c r="E42" s="125">
        <v>0</v>
      </c>
      <c r="F42" s="125">
        <v>0</v>
      </c>
      <c r="G42" s="125" t="s">
        <v>284</v>
      </c>
      <c r="H42" s="125" t="s">
        <v>284</v>
      </c>
      <c r="I42" s="159" t="s">
        <v>284</v>
      </c>
      <c r="J42" s="125" t="s">
        <v>284</v>
      </c>
      <c r="K42" s="159" t="s">
        <v>284</v>
      </c>
      <c r="L42" s="160" t="s">
        <v>284</v>
      </c>
      <c r="M42" s="83" t="str">
        <f t="shared" si="0"/>
        <v>SA999</v>
      </c>
      <c r="N42" s="89">
        <v>68</v>
      </c>
      <c r="O42" s="183" t="e">
        <v>#VALUE!</v>
      </c>
      <c r="P42" s="84" t="e">
        <v>#VALUE!</v>
      </c>
      <c r="Q42" s="183" t="e">
        <v>#VALUE!</v>
      </c>
      <c r="R42" s="185" t="e">
        <v>#VALUE!</v>
      </c>
      <c r="S42" s="83"/>
      <c r="T42" s="82"/>
      <c r="U42" s="83"/>
      <c r="V42" s="82"/>
      <c r="W42" s="83"/>
      <c r="Y42" s="45"/>
      <c r="Z42" s="45"/>
      <c r="AA42" s="83"/>
      <c r="AB42" s="91"/>
      <c r="AC42" s="83"/>
      <c r="AD42" s="83"/>
      <c r="AE42" s="87"/>
      <c r="AF42" s="45"/>
      <c r="AG42" s="45"/>
      <c r="AH42" s="59"/>
      <c r="AI42" s="59"/>
    </row>
    <row r="43" spans="1:35" x14ac:dyDescent="0.25">
      <c r="A43" t="s">
        <v>558</v>
      </c>
      <c r="B43" t="s">
        <v>559</v>
      </c>
      <c r="C43" s="124">
        <v>59</v>
      </c>
      <c r="D43" s="125">
        <v>51</v>
      </c>
      <c r="E43" s="125" t="s">
        <v>369</v>
      </c>
      <c r="F43" s="125" t="s">
        <v>369</v>
      </c>
      <c r="G43" s="125" t="s">
        <v>284</v>
      </c>
      <c r="H43" s="125" t="s">
        <v>284</v>
      </c>
      <c r="I43" s="159" t="s">
        <v>284</v>
      </c>
      <c r="J43" s="125" t="s">
        <v>284</v>
      </c>
      <c r="K43" s="159" t="s">
        <v>284</v>
      </c>
      <c r="L43" s="160">
        <v>4.4999999999999998E-2</v>
      </c>
      <c r="M43" s="83" t="str">
        <f t="shared" si="0"/>
        <v>SY999</v>
      </c>
      <c r="N43" s="89">
        <v>69</v>
      </c>
      <c r="O43" s="183" t="e">
        <v>#VALUE!</v>
      </c>
      <c r="P43" s="84" t="e">
        <v>#VALUE!</v>
      </c>
      <c r="Q43" s="183" t="e">
        <v>#VALUE!</v>
      </c>
      <c r="R43" s="185" t="e">
        <v>#VALUE!</v>
      </c>
      <c r="S43" s="85"/>
      <c r="T43" s="82"/>
      <c r="U43" s="83"/>
      <c r="V43" s="82"/>
      <c r="W43" s="83"/>
      <c r="Y43" s="45"/>
      <c r="AA43" s="85"/>
      <c r="AB43" s="90"/>
      <c r="AC43" s="83"/>
      <c r="AD43" s="83"/>
      <c r="AE43" s="87"/>
      <c r="AF43" s="45"/>
      <c r="AG43" s="45"/>
      <c r="AH43" s="59"/>
      <c r="AI43" s="59"/>
    </row>
    <row r="44" spans="1:35" x14ac:dyDescent="0.25">
      <c r="A44" t="s">
        <v>145</v>
      </c>
      <c r="B44" t="s">
        <v>146</v>
      </c>
      <c r="C44" s="124">
        <v>80</v>
      </c>
      <c r="D44" s="125">
        <v>37</v>
      </c>
      <c r="E44" s="125">
        <v>34</v>
      </c>
      <c r="F44" s="125" t="s">
        <v>369</v>
      </c>
      <c r="G44" s="125" t="s">
        <v>284</v>
      </c>
      <c r="H44" s="125" t="s">
        <v>284</v>
      </c>
      <c r="I44" s="159" t="s">
        <v>284</v>
      </c>
      <c r="J44" s="125" t="s">
        <v>284</v>
      </c>
      <c r="K44" s="159" t="s">
        <v>284</v>
      </c>
      <c r="L44" s="160">
        <v>0</v>
      </c>
      <c r="M44" s="83" t="str">
        <f t="shared" si="0"/>
        <v>SV999</v>
      </c>
      <c r="N44" s="89">
        <v>70</v>
      </c>
      <c r="O44" s="183" t="e">
        <v>#VALUE!</v>
      </c>
      <c r="P44" s="84" t="e">
        <v>#VALUE!</v>
      </c>
      <c r="Q44" s="183" t="e">
        <v>#VALUE!</v>
      </c>
      <c r="R44" s="185" t="e">
        <v>#VALUE!</v>
      </c>
      <c r="S44" s="85"/>
      <c r="T44" s="82"/>
      <c r="U44" s="83"/>
      <c r="V44" s="82"/>
      <c r="W44" s="83"/>
      <c r="Y44" s="45"/>
      <c r="Z44" s="45"/>
      <c r="AA44" s="83"/>
      <c r="AB44" s="91"/>
      <c r="AC44" s="83"/>
      <c r="AD44" s="83"/>
      <c r="AE44" s="87"/>
      <c r="AF44" s="45"/>
      <c r="AG44" s="45"/>
      <c r="AH44" s="59"/>
      <c r="AI44" s="59"/>
    </row>
    <row r="45" spans="1:35" x14ac:dyDescent="0.25">
      <c r="A45" t="s">
        <v>139</v>
      </c>
      <c r="B45" t="s">
        <v>140</v>
      </c>
      <c r="C45" s="124">
        <v>53</v>
      </c>
      <c r="D45" s="125">
        <v>27</v>
      </c>
      <c r="E45" s="125">
        <v>17</v>
      </c>
      <c r="F45" s="125" t="s">
        <v>369</v>
      </c>
      <c r="G45" s="125" t="s">
        <v>284</v>
      </c>
      <c r="H45" s="125" t="s">
        <v>284</v>
      </c>
      <c r="I45" s="159" t="s">
        <v>284</v>
      </c>
      <c r="J45" s="125" t="s">
        <v>284</v>
      </c>
      <c r="K45" s="159" t="s">
        <v>284</v>
      </c>
      <c r="L45" s="160">
        <v>2.1999999999999999E-2</v>
      </c>
      <c r="M45" s="83" t="str">
        <f t="shared" si="0"/>
        <v>SN999</v>
      </c>
      <c r="N45" s="89">
        <v>71</v>
      </c>
      <c r="O45" s="183" t="e">
        <v>#VALUE!</v>
      </c>
      <c r="P45" s="84" t="e">
        <v>#VALUE!</v>
      </c>
      <c r="Q45" s="183" t="e">
        <v>#VALUE!</v>
      </c>
      <c r="R45" s="185" t="e">
        <v>#VALUE!</v>
      </c>
      <c r="S45" s="85"/>
      <c r="T45" s="82"/>
      <c r="U45" s="83"/>
      <c r="V45" s="82"/>
      <c r="W45" s="83"/>
      <c r="Y45" s="45"/>
      <c r="Z45" s="45"/>
      <c r="AA45" s="85"/>
      <c r="AB45" s="90"/>
      <c r="AC45" s="83"/>
      <c r="AD45" s="83"/>
      <c r="AE45" s="87"/>
      <c r="AF45" s="45"/>
      <c r="AG45" s="45"/>
      <c r="AH45" s="59"/>
      <c r="AI45" s="59"/>
    </row>
    <row r="46" spans="1:35" x14ac:dyDescent="0.25">
      <c r="A46" t="s">
        <v>133</v>
      </c>
      <c r="B46" t="s">
        <v>134</v>
      </c>
      <c r="C46" s="140" t="e">
        <v>#N/A</v>
      </c>
      <c r="D46" s="125">
        <v>0</v>
      </c>
      <c r="E46" s="125" t="s">
        <v>369</v>
      </c>
      <c r="F46" s="125" t="s">
        <v>369</v>
      </c>
      <c r="G46" s="125" t="s">
        <v>284</v>
      </c>
      <c r="H46" s="125" t="s">
        <v>284</v>
      </c>
      <c r="I46" s="159" t="s">
        <v>284</v>
      </c>
      <c r="J46" s="125" t="s">
        <v>284</v>
      </c>
      <c r="K46" s="159" t="s">
        <v>284</v>
      </c>
      <c r="L46" s="160" t="s">
        <v>284</v>
      </c>
      <c r="M46" s="83" t="str">
        <f t="shared" si="0"/>
        <v>SG999</v>
      </c>
      <c r="N46" s="89">
        <v>72</v>
      </c>
      <c r="O46" s="183" t="e">
        <v>#VALUE!</v>
      </c>
      <c r="P46" s="84" t="e">
        <v>#VALUE!</v>
      </c>
      <c r="Q46" s="183" t="e">
        <v>#VALUE!</v>
      </c>
      <c r="R46" s="185" t="e">
        <v>#VALUE!</v>
      </c>
      <c r="S46" s="85"/>
      <c r="T46" s="82"/>
      <c r="U46" s="83"/>
      <c r="V46" s="82"/>
      <c r="W46" s="83"/>
      <c r="Y46" s="45"/>
      <c r="Z46" s="45"/>
      <c r="AA46" s="83"/>
      <c r="AB46" s="91"/>
      <c r="AC46" s="83"/>
      <c r="AD46" s="83"/>
      <c r="AE46" s="87"/>
      <c r="AF46" s="45"/>
      <c r="AG46" s="45"/>
      <c r="AH46" s="59"/>
      <c r="AI46" s="59"/>
    </row>
    <row r="47" spans="1:35" x14ac:dyDescent="0.25">
      <c r="A47" t="s">
        <v>135</v>
      </c>
      <c r="B47" t="s">
        <v>136</v>
      </c>
      <c r="C47" s="124">
        <v>0</v>
      </c>
      <c r="D47" s="125">
        <v>0</v>
      </c>
      <c r="E47" s="125">
        <v>0</v>
      </c>
      <c r="F47" s="125">
        <v>0</v>
      </c>
      <c r="G47" s="125" t="s">
        <v>284</v>
      </c>
      <c r="H47" s="125" t="s">
        <v>284</v>
      </c>
      <c r="I47" s="159" t="s">
        <v>284</v>
      </c>
      <c r="J47" s="125" t="s">
        <v>284</v>
      </c>
      <c r="K47" s="159" t="s">
        <v>284</v>
      </c>
      <c r="L47" s="160" t="s">
        <v>284</v>
      </c>
      <c r="M47" s="83" t="str">
        <f t="shared" si="0"/>
        <v>SH999</v>
      </c>
      <c r="N47" s="89">
        <v>73</v>
      </c>
      <c r="O47" s="183" t="e">
        <v>#VALUE!</v>
      </c>
      <c r="P47" s="84" t="e">
        <v>#VALUE!</v>
      </c>
      <c r="Q47" s="183" t="e">
        <v>#VALUE!</v>
      </c>
      <c r="R47" s="185" t="e">
        <v>#VALUE!</v>
      </c>
      <c r="S47" s="85"/>
      <c r="T47" s="82"/>
      <c r="U47" s="83"/>
      <c r="V47" s="82"/>
      <c r="W47" s="83"/>
      <c r="Y47" s="45"/>
      <c r="Z47" s="45"/>
      <c r="AA47" s="85"/>
      <c r="AB47" s="90"/>
      <c r="AC47" s="83"/>
      <c r="AD47" s="83"/>
      <c r="AE47" s="87"/>
      <c r="AF47" s="45"/>
      <c r="AG47" s="45"/>
      <c r="AH47" s="59"/>
      <c r="AI47" s="59"/>
    </row>
    <row r="48" spans="1:35" x14ac:dyDescent="0.25">
      <c r="A48" t="s">
        <v>137</v>
      </c>
      <c r="B48" t="s">
        <v>138</v>
      </c>
      <c r="C48" s="124">
        <v>0</v>
      </c>
      <c r="D48" s="125">
        <v>0</v>
      </c>
      <c r="E48" s="125">
        <v>0</v>
      </c>
      <c r="F48" s="125">
        <v>0</v>
      </c>
      <c r="G48" s="125" t="s">
        <v>284</v>
      </c>
      <c r="H48" s="125" t="s">
        <v>284</v>
      </c>
      <c r="I48" s="159" t="s">
        <v>284</v>
      </c>
      <c r="J48" s="125" t="s">
        <v>284</v>
      </c>
      <c r="K48" s="159" t="s">
        <v>284</v>
      </c>
      <c r="L48" s="160" t="s">
        <v>284</v>
      </c>
      <c r="M48" s="83" t="str">
        <f t="shared" si="0"/>
        <v>SL999</v>
      </c>
      <c r="N48" s="89">
        <v>74</v>
      </c>
      <c r="O48" s="183" t="e">
        <v>#VALUE!</v>
      </c>
      <c r="P48" s="84" t="e">
        <v>#VALUE!</v>
      </c>
      <c r="Q48" s="183" t="e">
        <v>#VALUE!</v>
      </c>
      <c r="R48" s="185" t="e">
        <v>#VALUE!</v>
      </c>
      <c r="S48" s="85"/>
      <c r="T48" s="82"/>
      <c r="U48" s="83"/>
      <c r="V48" s="82"/>
      <c r="W48" s="83"/>
      <c r="Y48" s="45"/>
      <c r="Z48" s="45"/>
      <c r="AA48" s="85"/>
      <c r="AB48" s="90"/>
      <c r="AC48" s="83"/>
      <c r="AD48" s="83"/>
      <c r="AE48" s="87"/>
      <c r="AF48" s="45"/>
      <c r="AG48" s="45"/>
      <c r="AH48" s="59"/>
      <c r="AI48" s="59"/>
    </row>
    <row r="49" spans="1:35" x14ac:dyDescent="0.25">
      <c r="A49" t="s">
        <v>141</v>
      </c>
      <c r="B49" t="s">
        <v>142</v>
      </c>
      <c r="C49" s="124">
        <v>0</v>
      </c>
      <c r="D49" s="125">
        <v>0</v>
      </c>
      <c r="E49" s="125">
        <v>0</v>
      </c>
      <c r="F49" s="125">
        <v>0</v>
      </c>
      <c r="G49" s="125" t="s">
        <v>284</v>
      </c>
      <c r="H49" s="125" t="s">
        <v>284</v>
      </c>
      <c r="I49" s="159" t="s">
        <v>284</v>
      </c>
      <c r="J49" s="125" t="s">
        <v>284</v>
      </c>
      <c r="K49" s="159" t="s">
        <v>284</v>
      </c>
      <c r="L49" s="160" t="s">
        <v>284</v>
      </c>
      <c r="M49" s="83" t="str">
        <f t="shared" si="0"/>
        <v>SS999</v>
      </c>
      <c r="N49" s="89">
        <v>75</v>
      </c>
      <c r="O49" s="183" t="e">
        <v>#VALUE!</v>
      </c>
      <c r="P49" s="84" t="e">
        <v>#VALUE!</v>
      </c>
      <c r="Q49" s="183" t="e">
        <v>#VALUE!</v>
      </c>
      <c r="R49" s="185" t="e">
        <v>#VALUE!</v>
      </c>
      <c r="S49" s="83"/>
      <c r="T49" s="82"/>
      <c r="U49" s="83"/>
      <c r="V49" s="82"/>
      <c r="W49" s="83"/>
      <c r="AA49" s="83"/>
      <c r="AB49" s="91"/>
      <c r="AC49" s="83"/>
      <c r="AD49" s="83"/>
      <c r="AE49" s="87"/>
      <c r="AF49" s="45"/>
      <c r="AG49" s="45"/>
      <c r="AH49" s="59"/>
      <c r="AI49" s="59"/>
    </row>
    <row r="50" spans="1:35" x14ac:dyDescent="0.25">
      <c r="A50" t="s">
        <v>143</v>
      </c>
      <c r="B50" t="s">
        <v>144</v>
      </c>
      <c r="C50" s="140" t="e">
        <v>#N/A</v>
      </c>
      <c r="D50" s="125" t="s">
        <v>369</v>
      </c>
      <c r="E50" s="125">
        <v>0</v>
      </c>
      <c r="F50" s="125">
        <v>0</v>
      </c>
      <c r="G50" s="125" t="s">
        <v>284</v>
      </c>
      <c r="H50" s="125" t="s">
        <v>284</v>
      </c>
      <c r="I50" s="159" t="s">
        <v>284</v>
      </c>
      <c r="J50" s="125" t="s">
        <v>284</v>
      </c>
      <c r="K50" s="159" t="s">
        <v>284</v>
      </c>
      <c r="L50" s="160" t="s">
        <v>284</v>
      </c>
      <c r="M50" s="83" t="str">
        <f t="shared" si="0"/>
        <v>ST999</v>
      </c>
      <c r="N50" s="89">
        <v>76</v>
      </c>
      <c r="O50" s="183" t="e">
        <v>#VALUE!</v>
      </c>
      <c r="P50" s="84" t="e">
        <v>#VALUE!</v>
      </c>
      <c r="Q50" s="183" t="e">
        <v>#VALUE!</v>
      </c>
      <c r="R50" s="185" t="e">
        <v>#VALUE!</v>
      </c>
      <c r="S50" s="83"/>
      <c r="T50" s="82"/>
      <c r="U50" s="83"/>
      <c r="V50" s="82"/>
      <c r="W50" s="83"/>
      <c r="AA50" s="83"/>
      <c r="AB50" s="91"/>
      <c r="AC50" s="83"/>
      <c r="AD50" s="83"/>
      <c r="AE50" s="87"/>
      <c r="AF50" s="45"/>
      <c r="AG50" s="45"/>
      <c r="AH50" s="59"/>
      <c r="AI50" s="59"/>
    </row>
    <row r="51" spans="1:35" x14ac:dyDescent="0.25">
      <c r="A51" t="s">
        <v>65</v>
      </c>
      <c r="B51" t="s">
        <v>66</v>
      </c>
      <c r="C51" s="124">
        <v>61</v>
      </c>
      <c r="D51" s="125" t="s">
        <v>369</v>
      </c>
      <c r="E51" s="125" t="s">
        <v>369</v>
      </c>
      <c r="F51" s="125">
        <v>50</v>
      </c>
      <c r="G51" s="125" t="s">
        <v>887</v>
      </c>
      <c r="H51" s="125">
        <v>48</v>
      </c>
      <c r="I51" s="159">
        <v>0.21</v>
      </c>
      <c r="J51" s="161">
        <v>30</v>
      </c>
      <c r="K51" s="159">
        <v>0.3</v>
      </c>
      <c r="L51" s="160">
        <v>2.4E-2</v>
      </c>
      <c r="M51" s="83" t="str">
        <f t="shared" si="0"/>
        <v>RM1</v>
      </c>
      <c r="N51" s="89">
        <v>11</v>
      </c>
      <c r="O51" s="183">
        <v>0.15000000596046448</v>
      </c>
      <c r="P51" s="183">
        <v>0.49000000953674316</v>
      </c>
      <c r="Q51" s="183">
        <v>0.14999999403953551</v>
      </c>
      <c r="R51" s="185">
        <v>0.19000000953674318</v>
      </c>
      <c r="S51" s="85"/>
      <c r="T51" s="82"/>
      <c r="U51" s="83"/>
      <c r="V51" s="82"/>
      <c r="W51" s="83"/>
      <c r="Y51" s="45"/>
      <c r="Z51" s="45"/>
      <c r="AA51" s="85"/>
      <c r="AB51" s="90"/>
      <c r="AC51" s="83"/>
      <c r="AD51" s="83"/>
      <c r="AE51" s="87"/>
      <c r="AF51" s="45"/>
      <c r="AG51" s="45"/>
      <c r="AH51" s="59"/>
      <c r="AI51" s="59"/>
    </row>
    <row r="52" spans="1:35" x14ac:dyDescent="0.25">
      <c r="A52" t="s">
        <v>100</v>
      </c>
      <c r="B52" t="s">
        <v>101</v>
      </c>
      <c r="C52" s="124">
        <v>623</v>
      </c>
      <c r="D52" s="125">
        <v>230</v>
      </c>
      <c r="E52" s="125">
        <v>206</v>
      </c>
      <c r="F52" s="125">
        <v>187</v>
      </c>
      <c r="G52" s="125" t="s">
        <v>567</v>
      </c>
      <c r="H52" s="125">
        <v>184</v>
      </c>
      <c r="I52" s="159">
        <v>0.08</v>
      </c>
      <c r="J52" s="161">
        <v>119</v>
      </c>
      <c r="K52" s="159">
        <v>0.72</v>
      </c>
      <c r="L52" s="160">
        <v>1.0999999999999999E-2</v>
      </c>
      <c r="M52" s="83" t="str">
        <f t="shared" si="0"/>
        <v>RVJ</v>
      </c>
      <c r="N52" s="89">
        <v>33</v>
      </c>
      <c r="O52" s="183">
        <v>0.62999999523162842</v>
      </c>
      <c r="P52" s="183">
        <v>0.80000001192092896</v>
      </c>
      <c r="Q52" s="183">
        <v>9.0000004768371555E-2</v>
      </c>
      <c r="R52" s="185">
        <v>8.0000011920928982E-2</v>
      </c>
      <c r="S52" s="85"/>
      <c r="T52" s="82"/>
      <c r="U52" s="83"/>
      <c r="V52" s="82"/>
      <c r="W52" s="83"/>
      <c r="Y52" s="45"/>
      <c r="Z52" s="45"/>
      <c r="AA52" s="85"/>
      <c r="AB52" s="90"/>
      <c r="AC52" s="83"/>
      <c r="AD52" s="83"/>
      <c r="AE52" s="87"/>
      <c r="AF52" s="45"/>
      <c r="AG52" s="45"/>
      <c r="AH52" s="59"/>
      <c r="AI52" s="59"/>
    </row>
    <row r="53" spans="1:35" x14ac:dyDescent="0.25">
      <c r="A53" t="s">
        <v>626</v>
      </c>
      <c r="B53" t="s">
        <v>518</v>
      </c>
      <c r="C53" s="124">
        <v>559</v>
      </c>
      <c r="D53" s="125">
        <v>203</v>
      </c>
      <c r="E53" s="125">
        <v>184</v>
      </c>
      <c r="F53" s="125">
        <v>172</v>
      </c>
      <c r="G53" s="125" t="s">
        <v>219</v>
      </c>
      <c r="H53" s="125">
        <v>169</v>
      </c>
      <c r="I53" s="159">
        <v>0.2</v>
      </c>
      <c r="J53" s="161">
        <v>129</v>
      </c>
      <c r="K53" s="159">
        <v>0.87</v>
      </c>
      <c r="L53" s="160">
        <v>0.02</v>
      </c>
      <c r="M53" s="83" t="str">
        <f t="shared" si="0"/>
        <v>RNN</v>
      </c>
      <c r="N53" s="89">
        <v>45</v>
      </c>
      <c r="O53" s="183">
        <v>0.80000001192092896</v>
      </c>
      <c r="P53" s="183">
        <v>0.92000001668930054</v>
      </c>
      <c r="Q53" s="183">
        <v>6.999998807907104E-2</v>
      </c>
      <c r="R53" s="185">
        <v>5.0000016689300542E-2</v>
      </c>
      <c r="S53" s="85"/>
      <c r="T53" s="82"/>
      <c r="U53" s="83"/>
      <c r="V53" s="82"/>
      <c r="W53" s="83"/>
      <c r="Y53" s="45"/>
      <c r="Z53" s="45"/>
      <c r="AA53" s="83"/>
      <c r="AB53" s="91"/>
      <c r="AC53" s="83"/>
      <c r="AD53" s="83"/>
      <c r="AE53" s="87"/>
      <c r="AF53" s="45"/>
      <c r="AG53" s="45"/>
      <c r="AH53" s="59"/>
      <c r="AI53" s="59"/>
    </row>
    <row r="54" spans="1:35" x14ac:dyDescent="0.25">
      <c r="A54" t="s">
        <v>36</v>
      </c>
      <c r="B54" t="s">
        <v>37</v>
      </c>
      <c r="C54" s="140" t="e">
        <v>#N/A</v>
      </c>
      <c r="D54" s="125">
        <v>0</v>
      </c>
      <c r="E54" s="125" t="s">
        <v>369</v>
      </c>
      <c r="F54" s="125">
        <v>0</v>
      </c>
      <c r="G54" s="125" t="s">
        <v>284</v>
      </c>
      <c r="H54" s="125" t="s">
        <v>284</v>
      </c>
      <c r="I54" s="159" t="s">
        <v>284</v>
      </c>
      <c r="J54" s="125" t="s">
        <v>284</v>
      </c>
      <c r="K54" s="159" t="s">
        <v>284</v>
      </c>
      <c r="L54" s="160" t="s">
        <v>284</v>
      </c>
      <c r="M54" s="83" t="str">
        <f t="shared" si="0"/>
        <v>RGN</v>
      </c>
      <c r="N54" s="89">
        <v>77</v>
      </c>
      <c r="O54" s="183" t="e">
        <v>#VALUE!</v>
      </c>
      <c r="P54" s="84" t="e">
        <v>#VALUE!</v>
      </c>
      <c r="Q54" s="183" t="e">
        <v>#VALUE!</v>
      </c>
      <c r="R54" s="185" t="e">
        <v>#VALUE!</v>
      </c>
      <c r="S54" s="85"/>
      <c r="T54" s="82"/>
      <c r="U54" s="83"/>
      <c r="V54" s="82"/>
      <c r="W54" s="83"/>
      <c r="Y54" s="45"/>
      <c r="AA54" s="83"/>
      <c r="AB54" s="91"/>
      <c r="AC54" s="83"/>
      <c r="AD54" s="83"/>
      <c r="AE54" s="87"/>
      <c r="AF54" s="45"/>
      <c r="AG54" s="45"/>
      <c r="AH54" s="59"/>
      <c r="AI54" s="59"/>
    </row>
    <row r="55" spans="1:35" x14ac:dyDescent="0.25">
      <c r="A55" t="s">
        <v>72</v>
      </c>
      <c r="B55" t="s">
        <v>73</v>
      </c>
      <c r="C55" s="124">
        <v>138</v>
      </c>
      <c r="D55" s="125" t="s">
        <v>369</v>
      </c>
      <c r="E55" s="125">
        <v>12</v>
      </c>
      <c r="F55" s="125">
        <v>125</v>
      </c>
      <c r="G55" s="125" t="s">
        <v>232</v>
      </c>
      <c r="H55" s="125">
        <v>123</v>
      </c>
      <c r="I55" s="159">
        <v>0.13</v>
      </c>
      <c r="J55" s="161">
        <v>87</v>
      </c>
      <c r="K55" s="159">
        <v>0.92</v>
      </c>
      <c r="L55" s="160">
        <v>0</v>
      </c>
      <c r="M55" s="83" t="str">
        <f t="shared" si="0"/>
        <v>RNS</v>
      </c>
      <c r="N55" s="89">
        <v>49</v>
      </c>
      <c r="O55" s="183">
        <v>0.8399999737739563</v>
      </c>
      <c r="P55" s="183">
        <v>0.97000002861022949</v>
      </c>
      <c r="Q55" s="183">
        <v>8.0000026226043741E-2</v>
      </c>
      <c r="R55" s="185">
        <v>5.0000028610229452E-2</v>
      </c>
      <c r="S55" s="85"/>
      <c r="T55" s="82"/>
      <c r="U55" s="83"/>
      <c r="V55" s="82"/>
      <c r="W55" s="83"/>
      <c r="Y55" s="45"/>
      <c r="AA55" s="83"/>
      <c r="AB55" s="91"/>
      <c r="AC55" s="83"/>
      <c r="AD55" s="83"/>
      <c r="AE55" s="87"/>
      <c r="AF55" s="45"/>
      <c r="AG55" s="45"/>
      <c r="AH55" s="59"/>
      <c r="AI55" s="59"/>
    </row>
    <row r="56" spans="1:35" x14ac:dyDescent="0.25">
      <c r="A56" t="s">
        <v>622</v>
      </c>
      <c r="B56" t="s">
        <v>623</v>
      </c>
      <c r="C56" s="124">
        <v>394</v>
      </c>
      <c r="D56" s="125">
        <v>194</v>
      </c>
      <c r="E56" s="125">
        <v>100</v>
      </c>
      <c r="F56" s="125">
        <v>100</v>
      </c>
      <c r="G56" s="125" t="s">
        <v>231</v>
      </c>
      <c r="H56" s="125">
        <v>98</v>
      </c>
      <c r="I56" s="159">
        <v>7.0000000000000007E-2</v>
      </c>
      <c r="J56" s="161">
        <v>62</v>
      </c>
      <c r="K56" s="159">
        <v>0.69</v>
      </c>
      <c r="L56" s="160">
        <v>2.7E-2</v>
      </c>
      <c r="M56" s="83" t="str">
        <f t="shared" si="0"/>
        <v>RM3</v>
      </c>
      <c r="N56" s="89">
        <v>30</v>
      </c>
      <c r="O56" s="183">
        <v>0.56000000238418579</v>
      </c>
      <c r="P56" s="183">
        <v>0.80000001192092896</v>
      </c>
      <c r="Q56" s="183">
        <v>0.12999999761581416</v>
      </c>
      <c r="R56" s="185">
        <v>0.11000001192092901</v>
      </c>
      <c r="S56" s="85"/>
      <c r="T56" s="82"/>
      <c r="U56" s="83"/>
      <c r="V56" s="82"/>
      <c r="W56" s="83"/>
      <c r="Y56" s="45"/>
      <c r="Z56" s="45"/>
      <c r="AA56" s="83"/>
      <c r="AB56" s="91"/>
      <c r="AC56" s="83"/>
      <c r="AD56" s="83"/>
      <c r="AE56" s="87"/>
      <c r="AF56" s="45"/>
      <c r="AG56" s="45"/>
      <c r="AH56" s="59"/>
      <c r="AI56" s="59"/>
    </row>
    <row r="57" spans="1:35" x14ac:dyDescent="0.25">
      <c r="A57" t="s">
        <v>119</v>
      </c>
      <c r="B57" t="s">
        <v>120</v>
      </c>
      <c r="C57" s="124">
        <v>0</v>
      </c>
      <c r="D57" s="125">
        <v>0</v>
      </c>
      <c r="E57" s="125">
        <v>0</v>
      </c>
      <c r="F57" s="125">
        <v>0</v>
      </c>
      <c r="G57" s="125" t="s">
        <v>284</v>
      </c>
      <c r="H57" s="125" t="s">
        <v>284</v>
      </c>
      <c r="I57" s="159" t="s">
        <v>284</v>
      </c>
      <c r="J57" s="125" t="s">
        <v>284</v>
      </c>
      <c r="K57" s="159" t="s">
        <v>284</v>
      </c>
      <c r="L57" s="160" t="s">
        <v>284</v>
      </c>
      <c r="M57" s="83" t="str">
        <f t="shared" si="0"/>
        <v>RX1</v>
      </c>
      <c r="N57" s="89">
        <v>78</v>
      </c>
      <c r="O57" s="183" t="e">
        <v>#VALUE!</v>
      </c>
      <c r="P57" s="84" t="e">
        <v>#VALUE!</v>
      </c>
      <c r="Q57" s="183" t="e">
        <v>#VALUE!</v>
      </c>
      <c r="R57" s="185" t="e">
        <v>#VALUE!</v>
      </c>
      <c r="S57" s="85"/>
      <c r="T57" s="82"/>
      <c r="U57" s="83"/>
      <c r="V57" s="82"/>
      <c r="W57" s="83"/>
      <c r="Y57" s="45"/>
      <c r="Z57" s="45"/>
      <c r="AA57" s="83"/>
      <c r="AB57" s="91"/>
      <c r="AC57" s="83"/>
      <c r="AD57" s="83"/>
      <c r="AE57" s="87"/>
      <c r="AF57" s="45"/>
      <c r="AG57" s="45"/>
      <c r="AH57" s="59"/>
      <c r="AI57" s="59"/>
    </row>
    <row r="58" spans="1:35" x14ac:dyDescent="0.25">
      <c r="A58" t="s">
        <v>96</v>
      </c>
      <c r="B58" t="s">
        <v>360</v>
      </c>
      <c r="C58" s="124">
        <v>147</v>
      </c>
      <c r="D58" s="125">
        <v>124</v>
      </c>
      <c r="E58" s="125">
        <v>19</v>
      </c>
      <c r="F58" s="125" t="s">
        <v>369</v>
      </c>
      <c r="G58" s="125" t="s">
        <v>284</v>
      </c>
      <c r="H58" s="125" t="s">
        <v>284</v>
      </c>
      <c r="I58" s="159" t="s">
        <v>284</v>
      </c>
      <c r="J58" s="125" t="s">
        <v>284</v>
      </c>
      <c r="K58" s="159" t="s">
        <v>284</v>
      </c>
      <c r="L58" s="160">
        <v>0</v>
      </c>
      <c r="M58" s="83" t="str">
        <f t="shared" si="0"/>
        <v>RTH</v>
      </c>
      <c r="N58" s="89">
        <v>79</v>
      </c>
      <c r="O58" s="183" t="e">
        <v>#VALUE!</v>
      </c>
      <c r="P58" s="84" t="e">
        <v>#VALUE!</v>
      </c>
      <c r="Q58" s="183" t="e">
        <v>#VALUE!</v>
      </c>
      <c r="R58" s="185" t="e">
        <v>#VALUE!</v>
      </c>
      <c r="S58" s="85"/>
      <c r="T58" s="82"/>
      <c r="U58" s="83"/>
      <c r="V58" s="82"/>
      <c r="W58" s="83"/>
      <c r="Y58" s="45"/>
      <c r="AA58" s="85"/>
      <c r="AB58" s="90"/>
      <c r="AC58" s="83"/>
      <c r="AD58" s="83"/>
      <c r="AE58" s="87"/>
      <c r="AF58" s="45"/>
      <c r="AG58" s="45"/>
      <c r="AH58" s="59"/>
      <c r="AI58" s="59"/>
    </row>
    <row r="59" spans="1:35" x14ac:dyDescent="0.25">
      <c r="A59" t="s">
        <v>79</v>
      </c>
      <c r="B59" t="s">
        <v>80</v>
      </c>
      <c r="C59" s="124">
        <v>0</v>
      </c>
      <c r="D59" s="125">
        <v>0</v>
      </c>
      <c r="E59" s="125">
        <v>0</v>
      </c>
      <c r="F59" s="125">
        <v>0</v>
      </c>
      <c r="G59" s="125" t="s">
        <v>284</v>
      </c>
      <c r="H59" s="125" t="s">
        <v>284</v>
      </c>
      <c r="I59" s="159" t="s">
        <v>284</v>
      </c>
      <c r="J59" s="125" t="s">
        <v>284</v>
      </c>
      <c r="K59" s="159" t="s">
        <v>284</v>
      </c>
      <c r="L59" s="160" t="s">
        <v>284</v>
      </c>
      <c r="M59" s="83" t="str">
        <f t="shared" si="0"/>
        <v>RQW</v>
      </c>
      <c r="N59" s="89">
        <v>80</v>
      </c>
      <c r="O59" s="183" t="e">
        <v>#VALUE!</v>
      </c>
      <c r="P59" s="84" t="e">
        <v>#VALUE!</v>
      </c>
      <c r="Q59" s="183" t="e">
        <v>#VALUE!</v>
      </c>
      <c r="R59" s="185" t="e">
        <v>#VALUE!</v>
      </c>
      <c r="S59" s="85"/>
      <c r="T59" s="82"/>
      <c r="U59" s="83"/>
      <c r="V59" s="82"/>
      <c r="W59" s="83"/>
      <c r="Y59" s="45"/>
      <c r="Z59" s="45"/>
      <c r="AA59" s="85"/>
      <c r="AB59" s="90"/>
      <c r="AC59" s="83"/>
      <c r="AD59" s="83"/>
      <c r="AE59" s="87"/>
      <c r="AF59" s="45"/>
      <c r="AG59" s="45"/>
      <c r="AH59" s="59"/>
      <c r="AI59" s="59"/>
    </row>
    <row r="60" spans="1:35" x14ac:dyDescent="0.25">
      <c r="A60" t="s">
        <v>48</v>
      </c>
      <c r="B60" t="s">
        <v>49</v>
      </c>
      <c r="C60" s="124">
        <v>289</v>
      </c>
      <c r="D60" s="125">
        <v>130</v>
      </c>
      <c r="E60" s="125">
        <v>45</v>
      </c>
      <c r="F60" s="125">
        <v>114</v>
      </c>
      <c r="G60" s="125" t="s">
        <v>218</v>
      </c>
      <c r="H60" s="125">
        <v>114</v>
      </c>
      <c r="I60" s="159">
        <v>0.11</v>
      </c>
      <c r="J60" s="161">
        <v>101</v>
      </c>
      <c r="K60" s="159">
        <v>0.74</v>
      </c>
      <c r="L60" s="160">
        <v>2.1999999999999999E-2</v>
      </c>
      <c r="M60" s="83" t="str">
        <f t="shared" si="0"/>
        <v>RHW</v>
      </c>
      <c r="N60" s="89">
        <v>36</v>
      </c>
      <c r="O60" s="183">
        <v>0.64999997615814209</v>
      </c>
      <c r="P60" s="183">
        <v>0.81999999284744263</v>
      </c>
      <c r="Q60" s="183">
        <v>9.0000023841857901E-2</v>
      </c>
      <c r="R60" s="185">
        <v>7.9999992847442636E-2</v>
      </c>
      <c r="S60" s="85"/>
      <c r="T60" s="82"/>
      <c r="U60" s="83"/>
      <c r="V60" s="82"/>
      <c r="W60" s="83"/>
      <c r="Y60" s="45"/>
      <c r="Z60" s="45"/>
      <c r="AA60" s="85"/>
      <c r="AB60" s="90"/>
      <c r="AC60" s="83"/>
      <c r="AD60" s="83"/>
      <c r="AE60" s="87"/>
      <c r="AF60" s="45"/>
      <c r="AG60" s="45"/>
      <c r="AH60" s="59"/>
      <c r="AI60" s="59"/>
    </row>
    <row r="61" spans="1:35" x14ac:dyDescent="0.25">
      <c r="A61" t="s">
        <v>89</v>
      </c>
      <c r="B61" t="s">
        <v>90</v>
      </c>
      <c r="C61" s="124">
        <v>15</v>
      </c>
      <c r="D61" s="125">
        <v>12</v>
      </c>
      <c r="E61" s="125">
        <v>0</v>
      </c>
      <c r="F61" s="125" t="s">
        <v>369</v>
      </c>
      <c r="G61" s="125" t="s">
        <v>284</v>
      </c>
      <c r="H61" s="125" t="s">
        <v>284</v>
      </c>
      <c r="I61" s="159" t="s">
        <v>284</v>
      </c>
      <c r="J61" s="125" t="s">
        <v>284</v>
      </c>
      <c r="K61" s="159" t="s">
        <v>284</v>
      </c>
      <c r="L61" s="160">
        <v>0.113</v>
      </c>
      <c r="M61" s="83" t="str">
        <f t="shared" si="0"/>
        <v>RT3</v>
      </c>
      <c r="N61" s="89">
        <v>81</v>
      </c>
      <c r="O61" s="183" t="e">
        <v>#VALUE!</v>
      </c>
      <c r="P61" s="84" t="e">
        <v>#VALUE!</v>
      </c>
      <c r="Q61" s="183" t="e">
        <v>#VALUE!</v>
      </c>
      <c r="R61" s="185" t="e">
        <v>#VALUE!</v>
      </c>
      <c r="S61" s="85"/>
      <c r="T61" s="82"/>
      <c r="U61" s="83"/>
      <c r="V61" s="82"/>
      <c r="W61" s="83"/>
      <c r="Y61" s="45"/>
      <c r="Z61" s="45"/>
      <c r="AA61" s="85"/>
      <c r="AB61" s="90"/>
      <c r="AC61" s="83"/>
      <c r="AD61" s="83"/>
      <c r="AE61" s="87"/>
      <c r="AF61" s="45"/>
      <c r="AG61" s="45"/>
      <c r="AH61" s="59"/>
      <c r="AI61" s="59"/>
    </row>
    <row r="62" spans="1:35" x14ac:dyDescent="0.25">
      <c r="A62" t="s">
        <v>32</v>
      </c>
      <c r="B62" t="s">
        <v>33</v>
      </c>
      <c r="C62" s="124">
        <v>122</v>
      </c>
      <c r="D62" s="125" t="s">
        <v>369</v>
      </c>
      <c r="E62" s="125">
        <v>0</v>
      </c>
      <c r="F62" s="125">
        <v>120</v>
      </c>
      <c r="G62" s="125" t="s">
        <v>219</v>
      </c>
      <c r="H62" s="125">
        <v>118</v>
      </c>
      <c r="I62" s="159">
        <v>0.25</v>
      </c>
      <c r="J62" s="161">
        <v>73</v>
      </c>
      <c r="K62" s="159">
        <v>0.9</v>
      </c>
      <c r="L62" s="160">
        <v>1.0999999999999999E-2</v>
      </c>
      <c r="M62" s="83" t="str">
        <f t="shared" si="0"/>
        <v>REF</v>
      </c>
      <c r="N62" s="89">
        <v>47</v>
      </c>
      <c r="O62" s="183">
        <v>0.81000000238418579</v>
      </c>
      <c r="P62" s="183">
        <v>0.95999997854232788</v>
      </c>
      <c r="Q62" s="183">
        <v>8.9999997615814231E-2</v>
      </c>
      <c r="R62" s="185">
        <v>5.9999978542327859E-2</v>
      </c>
      <c r="S62" s="83"/>
      <c r="T62" s="82"/>
      <c r="U62" s="83"/>
      <c r="V62" s="82"/>
      <c r="W62" s="83"/>
      <c r="AA62" s="83"/>
      <c r="AB62" s="91"/>
      <c r="AC62" s="83"/>
      <c r="AD62" s="83"/>
      <c r="AE62" s="87"/>
      <c r="AF62" s="45"/>
      <c r="AG62" s="45"/>
      <c r="AH62" s="59"/>
      <c r="AI62" s="59"/>
    </row>
    <row r="63" spans="1:35" x14ac:dyDescent="0.25">
      <c r="A63" t="s">
        <v>42</v>
      </c>
      <c r="B63" t="s">
        <v>43</v>
      </c>
      <c r="C63" s="124">
        <v>243</v>
      </c>
      <c r="D63" s="125">
        <v>12</v>
      </c>
      <c r="E63" s="125">
        <v>99</v>
      </c>
      <c r="F63" s="125">
        <v>132</v>
      </c>
      <c r="G63" s="125" t="s">
        <v>884</v>
      </c>
      <c r="H63" s="125">
        <v>131</v>
      </c>
      <c r="I63" s="159">
        <v>0.18</v>
      </c>
      <c r="J63" s="161">
        <v>130</v>
      </c>
      <c r="K63" s="159">
        <v>0.47</v>
      </c>
      <c r="L63" s="160">
        <v>4.4999999999999998E-2</v>
      </c>
      <c r="M63" s="83" t="str">
        <f t="shared" si="0"/>
        <v>RH8</v>
      </c>
      <c r="N63" s="89">
        <v>17</v>
      </c>
      <c r="O63" s="183">
        <v>0.37999999523162842</v>
      </c>
      <c r="P63" s="183">
        <v>0.56000000238418579</v>
      </c>
      <c r="Q63" s="183">
        <v>9.0000004768371555E-2</v>
      </c>
      <c r="R63" s="185">
        <v>9.0000002384185818E-2</v>
      </c>
      <c r="S63" s="85"/>
      <c r="T63" s="82"/>
      <c r="U63" s="83"/>
      <c r="V63" s="82"/>
      <c r="W63" s="83"/>
      <c r="Y63" s="45"/>
      <c r="Z63" s="45"/>
      <c r="AA63" s="85"/>
      <c r="AB63" s="90"/>
      <c r="AC63" s="83"/>
      <c r="AD63" s="83"/>
      <c r="AE63" s="87"/>
      <c r="AF63" s="45"/>
      <c r="AG63" s="45"/>
      <c r="AH63" s="59"/>
      <c r="AI63" s="59"/>
    </row>
    <row r="64" spans="1:35" x14ac:dyDescent="0.25">
      <c r="A64" t="s">
        <v>19</v>
      </c>
      <c r="B64" t="s">
        <v>20</v>
      </c>
      <c r="C64" s="124">
        <v>201</v>
      </c>
      <c r="D64" s="125">
        <v>97</v>
      </c>
      <c r="E64" s="125">
        <v>103</v>
      </c>
      <c r="F64" s="125" t="s">
        <v>369</v>
      </c>
      <c r="G64" s="125" t="s">
        <v>284</v>
      </c>
      <c r="H64" s="125" t="s">
        <v>284</v>
      </c>
      <c r="I64" s="159" t="s">
        <v>284</v>
      </c>
      <c r="J64" s="125" t="s">
        <v>284</v>
      </c>
      <c r="K64" s="159" t="s">
        <v>284</v>
      </c>
      <c r="L64" s="160">
        <v>0.02</v>
      </c>
      <c r="M64" s="83" t="str">
        <f t="shared" si="0"/>
        <v>RAL</v>
      </c>
      <c r="N64" s="89">
        <v>82</v>
      </c>
      <c r="O64" s="183" t="e">
        <v>#VALUE!</v>
      </c>
      <c r="P64" s="84" t="e">
        <v>#VALUE!</v>
      </c>
      <c r="Q64" s="183" t="e">
        <v>#VALUE!</v>
      </c>
      <c r="R64" s="185" t="e">
        <v>#VALUE!</v>
      </c>
      <c r="S64" s="85"/>
      <c r="T64" s="82"/>
      <c r="U64" s="83"/>
      <c r="V64" s="82"/>
      <c r="W64" s="83"/>
      <c r="Y64" s="45"/>
      <c r="AA64" s="85"/>
      <c r="AB64" s="90"/>
      <c r="AC64" s="83"/>
      <c r="AD64" s="83"/>
      <c r="AE64" s="87"/>
      <c r="AF64" s="45"/>
      <c r="AG64" s="45"/>
      <c r="AH64" s="59"/>
      <c r="AI64" s="59"/>
    </row>
    <row r="65" spans="1:35" x14ac:dyDescent="0.25">
      <c r="A65" t="s">
        <v>361</v>
      </c>
      <c r="B65" t="s">
        <v>362</v>
      </c>
      <c r="C65" s="140" t="e">
        <v>#N/A</v>
      </c>
      <c r="D65" s="125" t="s">
        <v>369</v>
      </c>
      <c r="E65" s="125">
        <v>0</v>
      </c>
      <c r="F65" s="125">
        <v>0</v>
      </c>
      <c r="G65" s="125" t="s">
        <v>284</v>
      </c>
      <c r="H65" s="125" t="s">
        <v>284</v>
      </c>
      <c r="I65" s="159" t="s">
        <v>284</v>
      </c>
      <c r="J65" s="125" t="s">
        <v>284</v>
      </c>
      <c r="K65" s="159" t="s">
        <v>284</v>
      </c>
      <c r="L65" s="160" t="s">
        <v>284</v>
      </c>
      <c r="M65" s="83" t="str">
        <f t="shared" si="0"/>
        <v>RD1</v>
      </c>
      <c r="N65" s="89">
        <v>83</v>
      </c>
      <c r="O65" s="183" t="e">
        <v>#VALUE!</v>
      </c>
      <c r="P65" s="84" t="e">
        <v>#VALUE!</v>
      </c>
      <c r="Q65" s="183" t="e">
        <v>#VALUE!</v>
      </c>
      <c r="R65" s="185" t="e">
        <v>#VALUE!</v>
      </c>
      <c r="S65" s="85"/>
      <c r="T65" s="82"/>
      <c r="U65" s="83"/>
      <c r="V65" s="82"/>
      <c r="W65" s="83"/>
      <c r="Y65" s="45"/>
      <c r="AA65" s="83"/>
      <c r="AB65" s="91"/>
      <c r="AC65" s="83"/>
      <c r="AD65" s="83"/>
      <c r="AE65" s="87"/>
      <c r="AF65" s="45"/>
      <c r="AG65" s="45"/>
      <c r="AH65" s="59"/>
      <c r="AI65" s="59"/>
    </row>
    <row r="66" spans="1:35" x14ac:dyDescent="0.25">
      <c r="A66" t="s">
        <v>63</v>
      </c>
      <c r="B66" t="s">
        <v>64</v>
      </c>
      <c r="C66" s="124">
        <v>53</v>
      </c>
      <c r="D66" s="125">
        <v>32</v>
      </c>
      <c r="E66" s="125">
        <v>19</v>
      </c>
      <c r="F66" s="125" t="s">
        <v>369</v>
      </c>
      <c r="G66" s="125" t="s">
        <v>284</v>
      </c>
      <c r="H66" s="125" t="s">
        <v>284</v>
      </c>
      <c r="I66" s="159" t="s">
        <v>284</v>
      </c>
      <c r="J66" s="125" t="s">
        <v>284</v>
      </c>
      <c r="K66" s="159" t="s">
        <v>284</v>
      </c>
      <c r="L66" s="160">
        <v>4.3999999999999997E-2</v>
      </c>
      <c r="M66" s="83" t="str">
        <f t="shared" si="0"/>
        <v>RL4</v>
      </c>
      <c r="N66" s="89">
        <v>84</v>
      </c>
      <c r="O66" s="183" t="e">
        <v>#VALUE!</v>
      </c>
      <c r="P66" s="84" t="e">
        <v>#VALUE!</v>
      </c>
      <c r="Q66" s="183" t="e">
        <v>#VALUE!</v>
      </c>
      <c r="R66" s="185" t="e">
        <v>#VALUE!</v>
      </c>
      <c r="S66" s="83"/>
      <c r="T66" s="82"/>
      <c r="U66" s="83"/>
      <c r="V66" s="82"/>
      <c r="W66" s="83"/>
      <c r="AA66" s="83"/>
      <c r="AB66" s="91"/>
      <c r="AC66" s="83"/>
      <c r="AD66" s="83"/>
      <c r="AE66" s="87"/>
      <c r="AF66" s="45"/>
      <c r="AG66" s="45"/>
      <c r="AH66" s="59"/>
      <c r="AI66" s="59"/>
    </row>
    <row r="67" spans="1:35" x14ac:dyDescent="0.25">
      <c r="A67" t="s">
        <v>46</v>
      </c>
      <c r="B67" t="s">
        <v>47</v>
      </c>
      <c r="C67" s="124">
        <v>68</v>
      </c>
      <c r="D67" s="125">
        <v>31</v>
      </c>
      <c r="E67" s="125">
        <v>18</v>
      </c>
      <c r="F67" s="125">
        <v>19</v>
      </c>
      <c r="G67" s="125" t="s">
        <v>370</v>
      </c>
      <c r="H67" s="125">
        <v>19</v>
      </c>
      <c r="I67" s="159">
        <v>0.05</v>
      </c>
      <c r="J67" s="161">
        <v>11</v>
      </c>
      <c r="K67" s="159">
        <v>0.73</v>
      </c>
      <c r="L67" s="160">
        <v>1.7000000000000001E-2</v>
      </c>
      <c r="M67" s="83" t="str">
        <f t="shared" ref="M67:M94" si="1">A67</f>
        <v>RHQ</v>
      </c>
      <c r="N67" s="89">
        <v>35</v>
      </c>
      <c r="O67" s="183">
        <v>0.38999998569488525</v>
      </c>
      <c r="P67" s="183">
        <v>0.93999999761581421</v>
      </c>
      <c r="Q67" s="183">
        <v>0.34000001430511473</v>
      </c>
      <c r="R67" s="185">
        <v>0.20999999761581423</v>
      </c>
      <c r="S67" s="85"/>
      <c r="T67" s="82"/>
      <c r="U67" s="83"/>
      <c r="V67" s="82"/>
      <c r="W67" s="83"/>
      <c r="Y67" s="45"/>
      <c r="AA67" s="83"/>
      <c r="AB67" s="91"/>
      <c r="AC67" s="83"/>
      <c r="AD67" s="83"/>
      <c r="AE67" s="87"/>
      <c r="AF67" s="45"/>
      <c r="AG67" s="45"/>
      <c r="AH67" s="59"/>
      <c r="AI67" s="59"/>
    </row>
    <row r="68" spans="1:35" x14ac:dyDescent="0.25">
      <c r="A68" t="s">
        <v>127</v>
      </c>
      <c r="B68" t="s">
        <v>128</v>
      </c>
      <c r="C68" s="124">
        <v>491</v>
      </c>
      <c r="D68" s="125">
        <v>185</v>
      </c>
      <c r="E68" s="125">
        <v>176</v>
      </c>
      <c r="F68" s="125">
        <v>130</v>
      </c>
      <c r="G68" s="125" t="s">
        <v>224</v>
      </c>
      <c r="H68" s="125">
        <v>130</v>
      </c>
      <c r="I68" s="159">
        <v>0.12</v>
      </c>
      <c r="J68" s="161">
        <v>101</v>
      </c>
      <c r="K68" s="159">
        <v>0.74</v>
      </c>
      <c r="L68" s="160">
        <v>1.4999999999999999E-2</v>
      </c>
      <c r="M68" s="83" t="str">
        <f t="shared" si="1"/>
        <v>RXW</v>
      </c>
      <c r="N68" s="89">
        <v>37</v>
      </c>
      <c r="O68" s="183">
        <v>0.64999997615814209</v>
      </c>
      <c r="P68" s="183">
        <v>0.81999999284744263</v>
      </c>
      <c r="Q68" s="183">
        <v>9.0000023841857901E-2</v>
      </c>
      <c r="R68" s="185">
        <v>7.9999992847442636E-2</v>
      </c>
      <c r="S68" s="85"/>
      <c r="T68" s="82"/>
      <c r="U68" s="83"/>
      <c r="V68" s="82"/>
      <c r="W68" s="83"/>
      <c r="Y68" s="45"/>
      <c r="Z68" s="45"/>
      <c r="AA68" s="83"/>
      <c r="AB68" s="91"/>
      <c r="AC68" s="83"/>
      <c r="AD68" s="83"/>
      <c r="AE68" s="87"/>
      <c r="AF68" s="45"/>
      <c r="AG68" s="45"/>
      <c r="AH68" s="59"/>
      <c r="AI68" s="59"/>
    </row>
    <row r="69" spans="1:35" x14ac:dyDescent="0.25">
      <c r="A69" t="s">
        <v>513</v>
      </c>
      <c r="B69" t="s">
        <v>514</v>
      </c>
      <c r="C69" s="124">
        <v>514</v>
      </c>
      <c r="D69" s="125">
        <v>292</v>
      </c>
      <c r="E69" s="125">
        <v>218</v>
      </c>
      <c r="F69" s="125" t="s">
        <v>369</v>
      </c>
      <c r="G69" s="125" t="s">
        <v>284</v>
      </c>
      <c r="H69" s="125" t="s">
        <v>284</v>
      </c>
      <c r="I69" s="159" t="s">
        <v>284</v>
      </c>
      <c r="J69" s="125" t="s">
        <v>284</v>
      </c>
      <c r="K69" s="159" t="s">
        <v>284</v>
      </c>
      <c r="L69" s="160">
        <v>2.3E-2</v>
      </c>
      <c r="M69" s="83" t="str">
        <f t="shared" si="1"/>
        <v>RH5</v>
      </c>
      <c r="N69" s="89">
        <v>85</v>
      </c>
      <c r="O69" s="183" t="e">
        <v>#VALUE!</v>
      </c>
      <c r="P69" s="84" t="e">
        <v>#VALUE!</v>
      </c>
      <c r="Q69" s="183" t="e">
        <v>#VALUE!</v>
      </c>
      <c r="R69" s="185" t="e">
        <v>#VALUE!</v>
      </c>
      <c r="S69" s="83"/>
      <c r="T69" s="82"/>
      <c r="U69" s="83"/>
      <c r="V69" s="82"/>
      <c r="W69" s="83"/>
      <c r="Y69" s="45"/>
      <c r="AA69" s="83"/>
      <c r="AB69" s="91"/>
      <c r="AC69" s="83"/>
      <c r="AD69" s="83"/>
      <c r="AE69" s="87"/>
      <c r="AF69" s="45"/>
      <c r="AG69" s="45"/>
      <c r="AH69" s="59"/>
      <c r="AI69" s="59"/>
    </row>
    <row r="70" spans="1:35" x14ac:dyDescent="0.25">
      <c r="A70" t="s">
        <v>98</v>
      </c>
      <c r="B70" t="s">
        <v>99</v>
      </c>
      <c r="C70" s="124">
        <v>0</v>
      </c>
      <c r="D70" s="125">
        <v>0</v>
      </c>
      <c r="E70" s="125">
        <v>0</v>
      </c>
      <c r="F70" s="125">
        <v>0</v>
      </c>
      <c r="G70" s="125" t="s">
        <v>284</v>
      </c>
      <c r="H70" s="125" t="s">
        <v>284</v>
      </c>
      <c r="I70" s="159" t="s">
        <v>284</v>
      </c>
      <c r="J70" s="125" t="s">
        <v>284</v>
      </c>
      <c r="K70" s="159" t="s">
        <v>284</v>
      </c>
      <c r="L70" s="160" t="s">
        <v>284</v>
      </c>
      <c r="M70" s="83" t="str">
        <f t="shared" si="1"/>
        <v>RTR</v>
      </c>
      <c r="N70" s="89">
        <v>86</v>
      </c>
      <c r="O70" s="183" t="e">
        <v>#VALUE!</v>
      </c>
      <c r="P70" s="84" t="e">
        <v>#VALUE!</v>
      </c>
      <c r="Q70" s="183" t="e">
        <v>#VALUE!</v>
      </c>
      <c r="R70" s="185" t="e">
        <v>#VALUE!</v>
      </c>
      <c r="S70" s="85"/>
      <c r="T70" s="82"/>
      <c r="U70" s="83"/>
      <c r="V70" s="82"/>
      <c r="W70" s="83"/>
      <c r="Y70" s="45"/>
      <c r="AA70" s="85"/>
      <c r="AB70" s="90"/>
      <c r="AC70" s="83"/>
      <c r="AD70" s="83"/>
      <c r="AE70" s="87"/>
      <c r="AF70" s="45"/>
      <c r="AG70" s="45"/>
      <c r="AH70" s="59"/>
      <c r="AI70" s="59"/>
    </row>
    <row r="71" spans="1:35" x14ac:dyDescent="0.25">
      <c r="A71" t="s">
        <v>498</v>
      </c>
      <c r="B71" t="s">
        <v>499</v>
      </c>
      <c r="C71" s="124">
        <v>168</v>
      </c>
      <c r="D71" s="125">
        <v>32</v>
      </c>
      <c r="E71" s="125">
        <v>59</v>
      </c>
      <c r="F71" s="125">
        <v>77</v>
      </c>
      <c r="G71" s="125" t="s">
        <v>222</v>
      </c>
      <c r="H71" s="125">
        <v>77</v>
      </c>
      <c r="I71" s="159">
        <v>0.14000000000000001</v>
      </c>
      <c r="J71" s="161">
        <v>64</v>
      </c>
      <c r="K71" s="159">
        <v>0.52</v>
      </c>
      <c r="L71" s="160">
        <v>1.6E-2</v>
      </c>
      <c r="M71" s="83" t="str">
        <f t="shared" si="1"/>
        <v>R0B</v>
      </c>
      <c r="N71" s="89">
        <v>20</v>
      </c>
      <c r="O71" s="183">
        <v>0.38999998569488525</v>
      </c>
      <c r="P71" s="183">
        <v>0.63999998569488525</v>
      </c>
      <c r="Q71" s="183">
        <v>0.13000001430511476</v>
      </c>
      <c r="R71" s="185">
        <v>0.11999998569488524</v>
      </c>
      <c r="S71" s="83"/>
      <c r="T71" s="82"/>
      <c r="U71" s="83"/>
      <c r="V71" s="82"/>
      <c r="W71" s="83"/>
      <c r="AA71" s="83"/>
      <c r="AB71" s="91"/>
      <c r="AC71" s="83"/>
      <c r="AD71" s="83"/>
      <c r="AE71" s="87"/>
      <c r="AF71" s="45"/>
      <c r="AG71" s="45"/>
      <c r="AH71" s="59"/>
      <c r="AI71" s="59"/>
    </row>
    <row r="72" spans="1:35" x14ac:dyDescent="0.25">
      <c r="A72" t="s">
        <v>363</v>
      </c>
      <c r="B72" t="s">
        <v>364</v>
      </c>
      <c r="C72" s="124">
        <v>39</v>
      </c>
      <c r="D72" s="125">
        <v>13</v>
      </c>
      <c r="E72" s="125">
        <v>21</v>
      </c>
      <c r="F72" s="125" t="s">
        <v>369</v>
      </c>
      <c r="G72" s="125" t="s">
        <v>284</v>
      </c>
      <c r="H72" s="125" t="s">
        <v>284</v>
      </c>
      <c r="I72" s="159" t="s">
        <v>284</v>
      </c>
      <c r="J72" s="125" t="s">
        <v>284</v>
      </c>
      <c r="K72" s="159" t="s">
        <v>284</v>
      </c>
      <c r="L72" s="160">
        <v>0.06</v>
      </c>
      <c r="M72" s="83" t="str">
        <f t="shared" si="1"/>
        <v>RVY</v>
      </c>
      <c r="N72" s="89">
        <v>87</v>
      </c>
      <c r="O72" s="183" t="e">
        <v>#VALUE!</v>
      </c>
      <c r="P72" s="84" t="e">
        <v>#VALUE!</v>
      </c>
      <c r="Q72" s="183" t="e">
        <v>#VALUE!</v>
      </c>
      <c r="R72" s="185" t="e">
        <v>#VALUE!</v>
      </c>
      <c r="S72" s="85"/>
      <c r="T72" s="82"/>
      <c r="U72" s="83"/>
      <c r="V72" s="82"/>
      <c r="W72" s="83"/>
      <c r="Y72" s="45"/>
      <c r="Z72" s="45"/>
      <c r="AA72" s="85"/>
      <c r="AB72" s="90"/>
      <c r="AC72" s="83"/>
      <c r="AD72" s="83"/>
      <c r="AE72" s="87"/>
      <c r="AF72" s="45"/>
      <c r="AG72" s="45"/>
      <c r="AH72" s="59"/>
      <c r="AI72" s="59"/>
    </row>
    <row r="73" spans="1:35" x14ac:dyDescent="0.25">
      <c r="A73" t="s">
        <v>52</v>
      </c>
      <c r="B73" t="s">
        <v>53</v>
      </c>
      <c r="C73" s="124">
        <v>523</v>
      </c>
      <c r="D73" s="125">
        <v>221</v>
      </c>
      <c r="E73" s="125">
        <v>148</v>
      </c>
      <c r="F73" s="125">
        <v>154</v>
      </c>
      <c r="G73" s="125" t="s">
        <v>888</v>
      </c>
      <c r="H73" s="125">
        <v>151</v>
      </c>
      <c r="I73" s="159">
        <v>0.17</v>
      </c>
      <c r="J73" s="161">
        <v>91</v>
      </c>
      <c r="K73" s="159">
        <v>0.09</v>
      </c>
      <c r="L73" s="160">
        <v>1.2999999999999999E-2</v>
      </c>
      <c r="M73" s="83" t="str">
        <f t="shared" si="1"/>
        <v>RJ7</v>
      </c>
      <c r="N73" s="89">
        <v>6</v>
      </c>
      <c r="O73" s="183">
        <v>3.9999999105930328E-2</v>
      </c>
      <c r="P73" s="183">
        <v>0.17000000178813934</v>
      </c>
      <c r="Q73" s="183">
        <v>5.0000000894069668E-2</v>
      </c>
      <c r="R73" s="185">
        <v>8.0000001788139347E-2</v>
      </c>
      <c r="S73" s="85"/>
      <c r="T73" s="82"/>
      <c r="U73" s="83"/>
      <c r="V73" s="82"/>
      <c r="W73" s="83"/>
      <c r="Y73" s="45"/>
      <c r="AA73" s="85"/>
      <c r="AB73" s="90"/>
      <c r="AC73" s="83"/>
      <c r="AD73" s="83"/>
      <c r="AE73" s="87"/>
      <c r="AF73" s="45"/>
      <c r="AG73" s="45"/>
      <c r="AH73" s="59"/>
      <c r="AI73" s="59"/>
    </row>
    <row r="74" spans="1:35" x14ac:dyDescent="0.25">
      <c r="A74" t="s">
        <v>21</v>
      </c>
      <c r="B74" t="s">
        <v>22</v>
      </c>
      <c r="C74" s="124">
        <v>65</v>
      </c>
      <c r="D74" s="125" t="s">
        <v>369</v>
      </c>
      <c r="E74" s="125">
        <v>17</v>
      </c>
      <c r="F74" s="125">
        <v>43</v>
      </c>
      <c r="G74" s="125" t="s">
        <v>216</v>
      </c>
      <c r="H74" s="125">
        <v>43</v>
      </c>
      <c r="I74" s="159">
        <v>0.05</v>
      </c>
      <c r="J74" s="161">
        <v>40</v>
      </c>
      <c r="K74" s="159">
        <v>0.8</v>
      </c>
      <c r="L74" s="160">
        <v>0</v>
      </c>
      <c r="M74" s="83" t="str">
        <f t="shared" si="1"/>
        <v>RBN</v>
      </c>
      <c r="N74" s="89">
        <v>41</v>
      </c>
      <c r="O74" s="183">
        <v>0.63999998569488525</v>
      </c>
      <c r="P74" s="183">
        <v>0.9100000262260437</v>
      </c>
      <c r="Q74" s="183">
        <v>0.16000001430511479</v>
      </c>
      <c r="R74" s="185">
        <v>0.11000002622604366</v>
      </c>
      <c r="S74" s="83"/>
      <c r="T74" s="82"/>
      <c r="U74" s="83"/>
      <c r="V74" s="82"/>
      <c r="W74" s="83"/>
      <c r="AA74" s="83"/>
      <c r="AB74" s="91"/>
      <c r="AC74" s="83"/>
      <c r="AD74" s="83"/>
      <c r="AE74" s="87"/>
      <c r="AF74" s="45"/>
      <c r="AG74" s="45"/>
      <c r="AH74" s="59"/>
      <c r="AI74" s="59"/>
    </row>
    <row r="75" spans="1:35" x14ac:dyDescent="0.25">
      <c r="A75" t="s">
        <v>365</v>
      </c>
      <c r="B75" t="s">
        <v>366</v>
      </c>
      <c r="C75" s="124">
        <v>162</v>
      </c>
      <c r="D75" s="125">
        <v>43</v>
      </c>
      <c r="E75" s="125">
        <v>51</v>
      </c>
      <c r="F75" s="125">
        <v>68</v>
      </c>
      <c r="G75" s="125" t="s">
        <v>216</v>
      </c>
      <c r="H75" s="125">
        <v>68</v>
      </c>
      <c r="I75" s="159">
        <v>7.0000000000000007E-2</v>
      </c>
      <c r="J75" s="161">
        <v>57</v>
      </c>
      <c r="K75" s="159">
        <v>0.96</v>
      </c>
      <c r="L75" s="160">
        <v>2.9000000000000001E-2</v>
      </c>
      <c r="M75" s="83" t="str">
        <f t="shared" si="1"/>
        <v>RTP</v>
      </c>
      <c r="N75" s="89">
        <v>51</v>
      </c>
      <c r="O75" s="183">
        <v>0.87999999523162842</v>
      </c>
      <c r="P75" s="183">
        <v>1</v>
      </c>
      <c r="Q75" s="183">
        <v>8.0000004768371547E-2</v>
      </c>
      <c r="R75" s="185">
        <v>4.0000000000000036E-2</v>
      </c>
      <c r="S75" s="83"/>
      <c r="T75" s="82"/>
      <c r="U75" s="83"/>
      <c r="V75" s="82"/>
      <c r="W75" s="83"/>
      <c r="AA75" s="83"/>
      <c r="AB75" s="91"/>
      <c r="AC75" s="83"/>
      <c r="AD75" s="83"/>
      <c r="AE75" s="87"/>
      <c r="AF75" s="45"/>
      <c r="AG75" s="45"/>
      <c r="AH75" s="59"/>
      <c r="AI75" s="59"/>
    </row>
    <row r="76" spans="1:35" x14ac:dyDescent="0.25">
      <c r="A76" t="s">
        <v>2</v>
      </c>
      <c r="B76" t="s">
        <v>168</v>
      </c>
      <c r="C76" s="124">
        <v>320</v>
      </c>
      <c r="D76" s="125">
        <v>115</v>
      </c>
      <c r="E76" s="125">
        <v>86</v>
      </c>
      <c r="F76" s="125">
        <v>119</v>
      </c>
      <c r="G76" s="125" t="s">
        <v>889</v>
      </c>
      <c r="H76" s="125">
        <v>114</v>
      </c>
      <c r="I76" s="159">
        <v>0.23</v>
      </c>
      <c r="J76" s="161">
        <v>48</v>
      </c>
      <c r="K76" s="159">
        <v>0.69</v>
      </c>
      <c r="L76" s="160">
        <v>2.5000000000000001E-2</v>
      </c>
      <c r="M76" s="83" t="str">
        <f t="shared" si="1"/>
        <v>7A3</v>
      </c>
      <c r="N76" s="89">
        <v>31</v>
      </c>
      <c r="O76" s="183">
        <v>0.54000002145767212</v>
      </c>
      <c r="P76" s="183">
        <v>0.81000000238418579</v>
      </c>
      <c r="Q76" s="183">
        <v>0.14999997854232783</v>
      </c>
      <c r="R76" s="185">
        <v>0.12000000238418584</v>
      </c>
      <c r="S76" s="83"/>
      <c r="T76" s="82"/>
      <c r="U76" s="83"/>
      <c r="V76" s="82"/>
      <c r="W76" s="83"/>
      <c r="AA76" s="83"/>
      <c r="AB76" s="91"/>
      <c r="AC76" s="83"/>
      <c r="AD76" s="83"/>
      <c r="AE76" s="87"/>
      <c r="AF76" s="45"/>
      <c r="AG76" s="45"/>
      <c r="AH76" s="59"/>
      <c r="AI76" s="59"/>
    </row>
    <row r="77" spans="1:35" x14ac:dyDescent="0.25">
      <c r="A77" t="s">
        <v>69</v>
      </c>
      <c r="B77" t="s">
        <v>70</v>
      </c>
      <c r="C77" s="124">
        <v>411</v>
      </c>
      <c r="D77" s="125">
        <v>219</v>
      </c>
      <c r="E77" s="125">
        <v>114</v>
      </c>
      <c r="F77" s="125">
        <v>78</v>
      </c>
      <c r="G77" s="125" t="s">
        <v>890</v>
      </c>
      <c r="H77" s="125">
        <v>76</v>
      </c>
      <c r="I77" s="159">
        <v>0.04</v>
      </c>
      <c r="J77" s="161">
        <v>34</v>
      </c>
      <c r="K77" s="159">
        <v>0.79</v>
      </c>
      <c r="L77" s="160">
        <v>3.9E-2</v>
      </c>
      <c r="M77" s="83" t="str">
        <f t="shared" si="1"/>
        <v>RNA</v>
      </c>
      <c r="N77" s="89">
        <v>40</v>
      </c>
      <c r="O77" s="183">
        <v>0.62000000476837158</v>
      </c>
      <c r="P77" s="183">
        <v>0.9100000262260437</v>
      </c>
      <c r="Q77" s="183">
        <v>0.16999999523162845</v>
      </c>
      <c r="R77" s="185">
        <v>0.12000002622604367</v>
      </c>
      <c r="S77" s="85"/>
      <c r="T77" s="82"/>
      <c r="U77" s="83"/>
      <c r="V77" s="82"/>
      <c r="W77" s="83"/>
      <c r="Y77" s="45"/>
      <c r="Z77" s="45"/>
      <c r="AA77" s="85"/>
      <c r="AB77" s="90"/>
      <c r="AC77" s="83"/>
      <c r="AD77" s="83"/>
      <c r="AE77" s="87"/>
      <c r="AF77" s="45"/>
      <c r="AG77" s="45"/>
      <c r="AH77" s="59"/>
      <c r="AI77" s="59"/>
    </row>
    <row r="78" spans="1:35" x14ac:dyDescent="0.25">
      <c r="A78" t="s">
        <v>13</v>
      </c>
      <c r="B78" t="s">
        <v>14</v>
      </c>
      <c r="C78" s="124">
        <v>0</v>
      </c>
      <c r="D78" s="125">
        <v>0</v>
      </c>
      <c r="E78" s="125">
        <v>0</v>
      </c>
      <c r="F78" s="125">
        <v>0</v>
      </c>
      <c r="G78" s="125" t="s">
        <v>284</v>
      </c>
      <c r="H78" s="125" t="s">
        <v>284</v>
      </c>
      <c r="I78" s="159" t="s">
        <v>284</v>
      </c>
      <c r="J78" s="125" t="s">
        <v>284</v>
      </c>
      <c r="K78" s="159" t="s">
        <v>284</v>
      </c>
      <c r="L78" s="160" t="s">
        <v>284</v>
      </c>
      <c r="M78" s="83" t="str">
        <f t="shared" si="1"/>
        <v>RA9</v>
      </c>
      <c r="N78" s="89">
        <v>88</v>
      </c>
      <c r="O78" s="183" t="e">
        <v>#VALUE!</v>
      </c>
      <c r="P78" s="84" t="e">
        <v>#VALUE!</v>
      </c>
      <c r="Q78" s="183" t="e">
        <v>#VALUE!</v>
      </c>
      <c r="R78" s="185" t="e">
        <v>#VALUE!</v>
      </c>
      <c r="S78" s="83"/>
      <c r="T78" s="82"/>
      <c r="U78" s="83"/>
      <c r="V78" s="82"/>
      <c r="W78" s="83"/>
      <c r="AA78" s="83"/>
      <c r="AB78" s="91"/>
      <c r="AC78" s="83"/>
      <c r="AD78" s="83"/>
      <c r="AE78" s="87"/>
      <c r="AF78" s="45"/>
      <c r="AG78" s="45"/>
      <c r="AH78" s="59"/>
      <c r="AI78" s="59"/>
    </row>
    <row r="79" spans="1:35" x14ac:dyDescent="0.25">
      <c r="A79" t="s">
        <v>107</v>
      </c>
      <c r="B79" t="s">
        <v>108</v>
      </c>
      <c r="C79" s="124">
        <v>451</v>
      </c>
      <c r="D79" s="125">
        <v>171</v>
      </c>
      <c r="E79" s="125">
        <v>140</v>
      </c>
      <c r="F79" s="125">
        <v>140</v>
      </c>
      <c r="G79" s="125" t="s">
        <v>229</v>
      </c>
      <c r="H79" s="125">
        <v>140</v>
      </c>
      <c r="I79" s="159">
        <v>0.02</v>
      </c>
      <c r="J79" s="161">
        <v>109</v>
      </c>
      <c r="K79" s="159">
        <v>0.46</v>
      </c>
      <c r="L79" s="160">
        <v>8.0000000000000002E-3</v>
      </c>
      <c r="M79" s="83" t="str">
        <f t="shared" si="1"/>
        <v>RWD</v>
      </c>
      <c r="N79" s="89">
        <v>16</v>
      </c>
      <c r="O79" s="183">
        <v>0.36000001430511475</v>
      </c>
      <c r="P79" s="183">
        <v>0.56000000238418579</v>
      </c>
      <c r="Q79" s="183">
        <v>9.9999985694885274E-2</v>
      </c>
      <c r="R79" s="185">
        <v>0.10000000238418577</v>
      </c>
      <c r="S79" s="85"/>
      <c r="T79" s="82"/>
      <c r="U79" s="83"/>
      <c r="V79" s="82"/>
      <c r="W79" s="83"/>
      <c r="Y79" s="45"/>
      <c r="AA79" s="85"/>
      <c r="AB79" s="90"/>
      <c r="AC79" s="83"/>
      <c r="AD79" s="83"/>
      <c r="AE79" s="87"/>
      <c r="AF79" s="45"/>
      <c r="AG79" s="45"/>
      <c r="AH79" s="59"/>
      <c r="AI79" s="59"/>
    </row>
    <row r="80" spans="1:35" x14ac:dyDescent="0.25">
      <c r="A80" t="s">
        <v>87</v>
      </c>
      <c r="B80" t="s">
        <v>88</v>
      </c>
      <c r="C80" s="124">
        <v>50</v>
      </c>
      <c r="D80" s="125" t="s">
        <v>369</v>
      </c>
      <c r="E80" s="125">
        <v>26</v>
      </c>
      <c r="F80" s="125">
        <v>19</v>
      </c>
      <c r="G80" s="125" t="s">
        <v>567</v>
      </c>
      <c r="H80" s="125">
        <v>19</v>
      </c>
      <c r="I80" s="159">
        <v>0.11</v>
      </c>
      <c r="J80" s="161">
        <v>14</v>
      </c>
      <c r="K80" s="159">
        <v>0.56999999999999995</v>
      </c>
      <c r="L80" s="160">
        <v>0</v>
      </c>
      <c r="M80" s="83" t="str">
        <f t="shared" si="1"/>
        <v>RRV</v>
      </c>
      <c r="N80" s="89">
        <v>23</v>
      </c>
      <c r="O80" s="183">
        <v>0.28999999165534973</v>
      </c>
      <c r="P80" s="183">
        <v>0.81999999284744263</v>
      </c>
      <c r="Q80" s="183">
        <v>0.28000000834465022</v>
      </c>
      <c r="R80" s="185">
        <v>0.24999999284744268</v>
      </c>
      <c r="S80" s="83"/>
      <c r="T80" s="82"/>
      <c r="U80" s="83"/>
      <c r="V80" s="82"/>
      <c r="W80" s="83"/>
      <c r="Y80" s="45"/>
      <c r="Z80" s="45"/>
      <c r="AA80" s="83"/>
      <c r="AB80" s="91"/>
      <c r="AC80" s="83"/>
      <c r="AD80" s="83"/>
      <c r="AE80" s="87"/>
      <c r="AF80" s="45"/>
      <c r="AG80" s="45"/>
      <c r="AH80" s="59"/>
      <c r="AI80" s="59"/>
    </row>
    <row r="81" spans="1:35" x14ac:dyDescent="0.25">
      <c r="A81" t="s">
        <v>54</v>
      </c>
      <c r="B81" t="s">
        <v>55</v>
      </c>
      <c r="C81" s="124">
        <v>691</v>
      </c>
      <c r="D81" s="125">
        <v>269</v>
      </c>
      <c r="E81" s="125">
        <v>230</v>
      </c>
      <c r="F81" s="125">
        <v>192</v>
      </c>
      <c r="G81" s="125" t="s">
        <v>891</v>
      </c>
      <c r="H81" s="125">
        <v>191</v>
      </c>
      <c r="I81" s="159">
        <v>0.27</v>
      </c>
      <c r="J81" s="161">
        <v>110</v>
      </c>
      <c r="K81" s="159">
        <v>0.61</v>
      </c>
      <c r="L81" s="160">
        <v>1.7000000000000001E-2</v>
      </c>
      <c r="M81" s="83" t="str">
        <f t="shared" si="1"/>
        <v>RJE</v>
      </c>
      <c r="N81" s="89">
        <v>25</v>
      </c>
      <c r="O81" s="183">
        <v>0.50999999046325684</v>
      </c>
      <c r="P81" s="183">
        <v>0.69999998807907104</v>
      </c>
      <c r="Q81" s="183">
        <v>0.10000000953674315</v>
      </c>
      <c r="R81" s="185">
        <v>8.9999988079071058E-2</v>
      </c>
      <c r="S81" s="83"/>
      <c r="T81" s="82"/>
      <c r="U81" s="83"/>
      <c r="V81" s="82"/>
      <c r="W81" s="83"/>
      <c r="AA81" s="83"/>
      <c r="AB81" s="91"/>
      <c r="AC81" s="83"/>
      <c r="AD81" s="83"/>
      <c r="AE81" s="87"/>
      <c r="AF81" s="45"/>
      <c r="AG81" s="45"/>
      <c r="AH81" s="59"/>
      <c r="AI81" s="59"/>
    </row>
    <row r="82" spans="1:35" x14ac:dyDescent="0.25">
      <c r="A82" t="s">
        <v>44</v>
      </c>
      <c r="B82" t="s">
        <v>45</v>
      </c>
      <c r="C82" s="124">
        <v>148</v>
      </c>
      <c r="D82" s="125">
        <v>31</v>
      </c>
      <c r="E82" s="125">
        <v>103</v>
      </c>
      <c r="F82" s="125">
        <v>14</v>
      </c>
      <c r="G82" s="125" t="s">
        <v>892</v>
      </c>
      <c r="H82" s="125">
        <v>14</v>
      </c>
      <c r="I82" s="159">
        <v>7.0000000000000007E-2</v>
      </c>
      <c r="J82" s="161">
        <v>14</v>
      </c>
      <c r="K82" s="159">
        <v>0.28999999999999998</v>
      </c>
      <c r="L82" s="160">
        <v>0.01</v>
      </c>
      <c r="M82" s="83" t="str">
        <f t="shared" si="1"/>
        <v>RHM</v>
      </c>
      <c r="N82" s="89">
        <v>10</v>
      </c>
      <c r="O82" s="183">
        <v>7.9999998211860657E-2</v>
      </c>
      <c r="P82" s="183">
        <v>0.57999998331069946</v>
      </c>
      <c r="Q82" s="183">
        <v>0.21000000178813932</v>
      </c>
      <c r="R82" s="185">
        <v>0.28999998331069948</v>
      </c>
      <c r="S82" s="83"/>
      <c r="T82" s="82"/>
      <c r="U82" s="83"/>
      <c r="V82" s="82"/>
      <c r="W82" s="83"/>
      <c r="Y82" s="45"/>
      <c r="Z82" s="45"/>
      <c r="AA82" s="83"/>
      <c r="AB82" s="91"/>
      <c r="AC82" s="83"/>
      <c r="AD82" s="83"/>
      <c r="AE82" s="87"/>
      <c r="AF82" s="45"/>
      <c r="AG82" s="45"/>
      <c r="AH82" s="59"/>
      <c r="AI82" s="59"/>
    </row>
    <row r="83" spans="1:35" x14ac:dyDescent="0.25">
      <c r="A83" t="s">
        <v>525</v>
      </c>
      <c r="B83" t="s">
        <v>526</v>
      </c>
      <c r="C83" s="124">
        <v>0</v>
      </c>
      <c r="D83" s="125">
        <v>0</v>
      </c>
      <c r="E83" s="125">
        <v>0</v>
      </c>
      <c r="F83" s="125">
        <v>0</v>
      </c>
      <c r="G83" s="125" t="s">
        <v>284</v>
      </c>
      <c r="H83" s="125" t="s">
        <v>284</v>
      </c>
      <c r="I83" s="159" t="s">
        <v>284</v>
      </c>
      <c r="J83" s="125" t="s">
        <v>284</v>
      </c>
      <c r="K83" s="159" t="s">
        <v>284</v>
      </c>
      <c r="L83" s="160" t="s">
        <v>284</v>
      </c>
      <c r="M83" s="83" t="str">
        <f t="shared" si="1"/>
        <v>RYR</v>
      </c>
      <c r="N83" s="89">
        <v>89</v>
      </c>
      <c r="O83" s="183" t="e">
        <v>#VALUE!</v>
      </c>
      <c r="P83" s="84" t="e">
        <v>#VALUE!</v>
      </c>
      <c r="Q83" s="183" t="e">
        <v>#VALUE!</v>
      </c>
      <c r="R83" s="185" t="e">
        <v>#VALUE!</v>
      </c>
      <c r="S83" s="85"/>
      <c r="T83" s="82"/>
      <c r="U83" s="83"/>
      <c r="V83" s="82"/>
      <c r="W83" s="83"/>
      <c r="Y83" s="45"/>
      <c r="Z83" s="45"/>
      <c r="AA83" s="85"/>
      <c r="AB83" s="90"/>
      <c r="AC83" s="83"/>
      <c r="AD83" s="83"/>
      <c r="AE83" s="87"/>
      <c r="AF83" s="45"/>
      <c r="AG83" s="45"/>
      <c r="AH83" s="59"/>
      <c r="AI83" s="59"/>
    </row>
    <row r="84" spans="1:35" x14ac:dyDescent="0.25">
      <c r="A84" t="s">
        <v>85</v>
      </c>
      <c r="B84" t="s">
        <v>86</v>
      </c>
      <c r="C84" s="124">
        <v>1000</v>
      </c>
      <c r="D84" s="125">
        <v>393</v>
      </c>
      <c r="E84" s="125">
        <v>291</v>
      </c>
      <c r="F84" s="125">
        <v>316</v>
      </c>
      <c r="G84" s="125" t="s">
        <v>874</v>
      </c>
      <c r="H84" s="125">
        <v>300</v>
      </c>
      <c r="I84" s="159">
        <v>0.13</v>
      </c>
      <c r="J84" s="161">
        <v>142</v>
      </c>
      <c r="K84" s="159">
        <v>0.71</v>
      </c>
      <c r="L84" s="160">
        <v>1.4E-2</v>
      </c>
      <c r="M84" s="83" t="str">
        <f t="shared" si="1"/>
        <v>RRK</v>
      </c>
      <c r="N84" s="89">
        <v>32</v>
      </c>
      <c r="O84" s="183">
        <v>0.62999999523162842</v>
      </c>
      <c r="P84" s="183">
        <v>0.77999997138977051</v>
      </c>
      <c r="Q84" s="183">
        <v>8.0000004768371547E-2</v>
      </c>
      <c r="R84" s="185">
        <v>6.9999971389770543E-2</v>
      </c>
      <c r="S84" s="83"/>
      <c r="T84" s="82"/>
      <c r="U84" s="83"/>
      <c r="V84" s="82"/>
      <c r="W84" s="83"/>
      <c r="AA84" s="83"/>
      <c r="AB84" s="91"/>
      <c r="AC84" s="83"/>
      <c r="AD84" s="83"/>
      <c r="AE84" s="87"/>
      <c r="AF84" s="45"/>
      <c r="AG84" s="45"/>
      <c r="AH84" s="59"/>
      <c r="AI84" s="59"/>
    </row>
    <row r="85" spans="1:35" x14ac:dyDescent="0.25">
      <c r="A85" t="s">
        <v>61</v>
      </c>
      <c r="B85" t="s">
        <v>62</v>
      </c>
      <c r="C85" s="124">
        <v>115</v>
      </c>
      <c r="D85" s="125">
        <v>0</v>
      </c>
      <c r="E85" s="125">
        <v>48</v>
      </c>
      <c r="F85" s="125">
        <v>67</v>
      </c>
      <c r="G85" s="125" t="s">
        <v>893</v>
      </c>
      <c r="H85" s="125">
        <v>65</v>
      </c>
      <c r="I85" s="159">
        <v>0.14000000000000001</v>
      </c>
      <c r="J85" s="161">
        <v>27</v>
      </c>
      <c r="K85" s="159">
        <v>0.81</v>
      </c>
      <c r="L85" s="160">
        <v>1.4999999999999999E-2</v>
      </c>
      <c r="M85" s="83" t="str">
        <f t="shared" si="1"/>
        <v>RKB</v>
      </c>
      <c r="N85" s="89">
        <v>43</v>
      </c>
      <c r="O85" s="183">
        <v>0.62000000476837158</v>
      </c>
      <c r="P85" s="183">
        <v>0.93999999761581421</v>
      </c>
      <c r="Q85" s="183">
        <v>0.18999999523162847</v>
      </c>
      <c r="R85" s="185">
        <v>0.12999999761581416</v>
      </c>
      <c r="S85" s="83"/>
      <c r="T85" s="82"/>
      <c r="U85" s="83"/>
      <c r="V85" s="82"/>
      <c r="W85" s="83"/>
      <c r="AA85" s="83"/>
      <c r="AB85" s="91"/>
      <c r="AC85" s="83"/>
      <c r="AD85" s="83"/>
      <c r="AE85" s="87"/>
      <c r="AF85" s="45"/>
      <c r="AG85" s="45"/>
      <c r="AH85" s="59"/>
      <c r="AI85" s="59"/>
    </row>
    <row r="86" spans="1:35" x14ac:dyDescent="0.25">
      <c r="A86" t="s">
        <v>501</v>
      </c>
      <c r="B86" t="s">
        <v>502</v>
      </c>
      <c r="C86" s="140" t="e">
        <v>#N/A</v>
      </c>
      <c r="D86" s="125">
        <v>0</v>
      </c>
      <c r="E86" s="125" t="s">
        <v>369</v>
      </c>
      <c r="F86" s="125">
        <v>0</v>
      </c>
      <c r="G86" s="125" t="s">
        <v>284</v>
      </c>
      <c r="H86" s="125" t="s">
        <v>284</v>
      </c>
      <c r="I86" s="159" t="s">
        <v>284</v>
      </c>
      <c r="J86" s="125" t="s">
        <v>284</v>
      </c>
      <c r="K86" s="159" t="s">
        <v>284</v>
      </c>
      <c r="L86" s="160" t="s">
        <v>284</v>
      </c>
      <c r="M86" s="83" t="str">
        <f t="shared" si="1"/>
        <v>R0D</v>
      </c>
      <c r="N86" s="89">
        <v>90</v>
      </c>
      <c r="O86" s="183" t="e">
        <v>#VALUE!</v>
      </c>
      <c r="P86" s="84" t="e">
        <v>#VALUE!</v>
      </c>
      <c r="Q86" s="183" t="e">
        <v>#VALUE!</v>
      </c>
      <c r="R86" s="185" t="e">
        <v>#VALUE!</v>
      </c>
      <c r="S86" s="85"/>
      <c r="T86" s="82"/>
      <c r="U86" s="83"/>
      <c r="V86" s="82"/>
      <c r="W86" s="83"/>
      <c r="Y86" s="45"/>
      <c r="Z86" s="45"/>
      <c r="AA86" s="85"/>
      <c r="AB86" s="90"/>
      <c r="AC86" s="83"/>
      <c r="AD86" s="83"/>
      <c r="AE86" s="87"/>
      <c r="AF86" s="45"/>
      <c r="AG86" s="45"/>
      <c r="AH86" s="59"/>
      <c r="AI86" s="59"/>
    </row>
    <row r="87" spans="1:35" x14ac:dyDescent="0.25">
      <c r="A87" t="s">
        <v>95</v>
      </c>
      <c r="B87" t="s">
        <v>285</v>
      </c>
      <c r="C87" s="124">
        <v>866</v>
      </c>
      <c r="D87" s="125">
        <v>320</v>
      </c>
      <c r="E87" s="125">
        <v>270</v>
      </c>
      <c r="F87" s="125">
        <v>276</v>
      </c>
      <c r="G87" s="125" t="s">
        <v>370</v>
      </c>
      <c r="H87" s="125">
        <v>275</v>
      </c>
      <c r="I87" s="159">
        <v>0.1</v>
      </c>
      <c r="J87" s="161">
        <v>199</v>
      </c>
      <c r="K87" s="159">
        <v>0.5</v>
      </c>
      <c r="L87" s="160">
        <v>0.01</v>
      </c>
      <c r="M87" s="83" t="str">
        <f t="shared" si="1"/>
        <v>RTG</v>
      </c>
      <c r="N87" s="89">
        <v>18</v>
      </c>
      <c r="O87" s="183">
        <v>0.43000000715255737</v>
      </c>
      <c r="P87" s="183">
        <v>0.56999999284744263</v>
      </c>
      <c r="Q87" s="183">
        <v>6.9999992847442627E-2</v>
      </c>
      <c r="R87" s="185">
        <v>6.9999992847442627E-2</v>
      </c>
      <c r="S87" s="85"/>
      <c r="T87" s="82"/>
      <c r="U87" s="83"/>
      <c r="V87" s="82"/>
      <c r="W87" s="83"/>
      <c r="Y87" s="45"/>
      <c r="AA87" s="85"/>
      <c r="AB87" s="90"/>
      <c r="AC87" s="83"/>
      <c r="AD87" s="83"/>
      <c r="AE87" s="87"/>
      <c r="AF87" s="45"/>
      <c r="AG87" s="45"/>
      <c r="AH87" s="59"/>
      <c r="AI87" s="59"/>
    </row>
    <row r="88" spans="1:35" x14ac:dyDescent="0.25">
      <c r="A88" t="s">
        <v>109</v>
      </c>
      <c r="B88" t="s">
        <v>110</v>
      </c>
      <c r="C88" s="124">
        <v>429</v>
      </c>
      <c r="D88" s="125">
        <v>30</v>
      </c>
      <c r="E88" s="125">
        <v>192</v>
      </c>
      <c r="F88" s="125">
        <v>207</v>
      </c>
      <c r="G88" s="125" t="s">
        <v>225</v>
      </c>
      <c r="H88" s="125">
        <v>202</v>
      </c>
      <c r="I88" s="159">
        <v>0.1</v>
      </c>
      <c r="J88" s="161">
        <v>129</v>
      </c>
      <c r="K88" s="159">
        <v>0.25</v>
      </c>
      <c r="L88" s="160">
        <v>1.4E-2</v>
      </c>
      <c r="M88" s="83" t="str">
        <f t="shared" si="1"/>
        <v>RWE</v>
      </c>
      <c r="N88" s="89">
        <v>9</v>
      </c>
      <c r="O88" s="183">
        <v>0.18000000715255737</v>
      </c>
      <c r="P88" s="183">
        <v>0.33000001311302185</v>
      </c>
      <c r="Q88" s="183">
        <v>6.9999992847442627E-2</v>
      </c>
      <c r="R88" s="185">
        <v>8.0000013113021851E-2</v>
      </c>
      <c r="S88" s="85"/>
      <c r="T88" s="82"/>
      <c r="U88" s="83"/>
      <c r="V88" s="82"/>
      <c r="W88" s="83"/>
      <c r="Y88" s="45"/>
      <c r="Z88" s="45"/>
      <c r="AA88" s="83"/>
      <c r="AB88" s="91"/>
      <c r="AC88" s="83"/>
      <c r="AD88" s="83"/>
      <c r="AE88" s="87"/>
      <c r="AF88" s="45"/>
      <c r="AG88" s="45"/>
      <c r="AH88" s="59"/>
      <c r="AI88" s="59"/>
    </row>
    <row r="89" spans="1:35" x14ac:dyDescent="0.25">
      <c r="A89" t="s">
        <v>60</v>
      </c>
      <c r="B89" t="s">
        <v>169</v>
      </c>
      <c r="C89" s="124">
        <v>24</v>
      </c>
      <c r="D89" s="125">
        <v>16</v>
      </c>
      <c r="E89" s="125" t="s">
        <v>369</v>
      </c>
      <c r="F89" s="125">
        <v>0</v>
      </c>
      <c r="G89" s="125" t="s">
        <v>284</v>
      </c>
      <c r="H89" s="125" t="s">
        <v>284</v>
      </c>
      <c r="I89" s="159" t="s">
        <v>284</v>
      </c>
      <c r="J89" s="125" t="s">
        <v>284</v>
      </c>
      <c r="K89" s="159" t="s">
        <v>284</v>
      </c>
      <c r="L89" s="160">
        <v>0</v>
      </c>
      <c r="M89" s="83" t="str">
        <f t="shared" si="1"/>
        <v>RK9</v>
      </c>
      <c r="N89" s="89">
        <v>91</v>
      </c>
      <c r="O89" s="183" t="e">
        <v>#VALUE!</v>
      </c>
      <c r="P89" s="84" t="e">
        <v>#VALUE!</v>
      </c>
      <c r="Q89" s="183" t="e">
        <v>#VALUE!</v>
      </c>
      <c r="R89" s="185" t="e">
        <v>#VALUE!</v>
      </c>
      <c r="S89" s="83"/>
      <c r="T89" s="82"/>
      <c r="U89" s="83"/>
      <c r="V89" s="82"/>
      <c r="W89" s="83"/>
      <c r="Y89" s="45"/>
      <c r="AA89" s="83"/>
      <c r="AB89" s="91"/>
      <c r="AC89" s="83"/>
      <c r="AD89" s="83"/>
      <c r="AE89" s="87"/>
      <c r="AF89" s="45"/>
      <c r="AG89" s="45"/>
      <c r="AH89" s="59"/>
      <c r="AI89" s="59"/>
    </row>
    <row r="90" spans="1:35" x14ac:dyDescent="0.25">
      <c r="A90" t="s">
        <v>111</v>
      </c>
      <c r="B90" t="s">
        <v>723</v>
      </c>
      <c r="C90" s="124">
        <v>82</v>
      </c>
      <c r="D90" s="125">
        <v>57</v>
      </c>
      <c r="E90" s="125">
        <v>17</v>
      </c>
      <c r="F90" s="125" t="s">
        <v>369</v>
      </c>
      <c r="G90" s="125" t="s">
        <v>284</v>
      </c>
      <c r="H90" s="125" t="s">
        <v>284</v>
      </c>
      <c r="I90" s="159" t="s">
        <v>284</v>
      </c>
      <c r="J90" s="125" t="s">
        <v>284</v>
      </c>
      <c r="K90" s="159" t="s">
        <v>284</v>
      </c>
      <c r="L90" s="160">
        <v>4.3999999999999997E-2</v>
      </c>
      <c r="M90" s="83" t="str">
        <f t="shared" si="1"/>
        <v>RWG</v>
      </c>
      <c r="N90" s="89">
        <v>92</v>
      </c>
      <c r="O90" s="183" t="e">
        <v>#VALUE!</v>
      </c>
      <c r="P90" s="84" t="e">
        <v>#VALUE!</v>
      </c>
      <c r="Q90" s="183" t="e">
        <v>#VALUE!</v>
      </c>
      <c r="R90" s="185" t="e">
        <v>#VALUE!</v>
      </c>
      <c r="S90" s="85"/>
      <c r="T90" s="82"/>
      <c r="U90" s="83"/>
      <c r="V90" s="82"/>
      <c r="W90" s="83"/>
      <c r="Y90" s="45"/>
      <c r="AA90" s="85"/>
      <c r="AB90" s="90"/>
      <c r="AC90" s="83"/>
      <c r="AD90" s="83"/>
      <c r="AE90" s="87"/>
      <c r="AF90" s="45"/>
      <c r="AG90" s="45"/>
      <c r="AH90" s="59"/>
      <c r="AI90" s="59"/>
    </row>
    <row r="91" spans="1:35" x14ac:dyDescent="0.25">
      <c r="A91" t="s">
        <v>38</v>
      </c>
      <c r="B91" t="s">
        <v>39</v>
      </c>
      <c r="C91" s="140" t="e">
        <v>#N/A</v>
      </c>
      <c r="D91" s="125">
        <v>0</v>
      </c>
      <c r="E91" s="125">
        <v>0</v>
      </c>
      <c r="F91" s="125" t="s">
        <v>369</v>
      </c>
      <c r="G91" s="125" t="s">
        <v>284</v>
      </c>
      <c r="H91" s="125" t="s">
        <v>284</v>
      </c>
      <c r="I91" s="159" t="s">
        <v>284</v>
      </c>
      <c r="J91" s="125" t="s">
        <v>284</v>
      </c>
      <c r="K91" s="159" t="s">
        <v>284</v>
      </c>
      <c r="L91" s="160" t="s">
        <v>284</v>
      </c>
      <c r="M91" s="83" t="str">
        <f t="shared" si="1"/>
        <v>RGR</v>
      </c>
      <c r="N91" s="89">
        <v>93</v>
      </c>
      <c r="O91" s="183" t="e">
        <v>#VALUE!</v>
      </c>
      <c r="P91" s="84" t="e">
        <v>#VALUE!</v>
      </c>
      <c r="Q91" s="183" t="e">
        <v>#VALUE!</v>
      </c>
      <c r="R91" s="185" t="e">
        <v>#VALUE!</v>
      </c>
      <c r="S91" s="83"/>
      <c r="T91" s="82"/>
      <c r="U91" s="83"/>
      <c r="V91" s="82"/>
      <c r="W91" s="83"/>
      <c r="AA91" s="83"/>
      <c r="AB91" s="91"/>
      <c r="AC91" s="83"/>
      <c r="AD91" s="83"/>
      <c r="AE91" s="87"/>
      <c r="AF91" s="45"/>
      <c r="AG91" s="45"/>
      <c r="AH91" s="59"/>
      <c r="AI91" s="59"/>
    </row>
    <row r="92" spans="1:35" x14ac:dyDescent="0.25">
      <c r="A92" t="s">
        <v>115</v>
      </c>
      <c r="B92" t="s">
        <v>116</v>
      </c>
      <c r="C92" s="124">
        <v>398</v>
      </c>
      <c r="D92" s="125">
        <v>137</v>
      </c>
      <c r="E92" s="125">
        <v>125</v>
      </c>
      <c r="F92" s="125">
        <v>136</v>
      </c>
      <c r="G92" s="125" t="s">
        <v>568</v>
      </c>
      <c r="H92" s="125">
        <v>132</v>
      </c>
      <c r="I92" s="159">
        <v>0.11</v>
      </c>
      <c r="J92" s="161">
        <v>72</v>
      </c>
      <c r="K92" s="159">
        <v>0.01</v>
      </c>
      <c r="L92" s="160">
        <v>1.7000000000000001E-2</v>
      </c>
      <c r="M92" s="83" t="str">
        <f t="shared" si="1"/>
        <v>RWP</v>
      </c>
      <c r="N92" s="89">
        <v>3</v>
      </c>
      <c r="O92" s="183">
        <v>0</v>
      </c>
      <c r="P92" s="183">
        <v>7.0000000298023224E-2</v>
      </c>
      <c r="Q92" s="183">
        <v>0.01</v>
      </c>
      <c r="R92" s="185">
        <v>6.0000000298023222E-2</v>
      </c>
    </row>
    <row r="93" spans="1:35" x14ac:dyDescent="0.25">
      <c r="A93" t="s">
        <v>367</v>
      </c>
      <c r="B93" t="s">
        <v>368</v>
      </c>
      <c r="C93" s="124">
        <v>247</v>
      </c>
      <c r="D93" s="125">
        <v>111</v>
      </c>
      <c r="E93" s="125">
        <v>68</v>
      </c>
      <c r="F93" s="125">
        <v>68</v>
      </c>
      <c r="G93" s="125" t="s">
        <v>216</v>
      </c>
      <c r="H93" s="125">
        <v>68</v>
      </c>
      <c r="I93" s="159">
        <v>0.13</v>
      </c>
      <c r="J93" s="161">
        <v>59</v>
      </c>
      <c r="K93" s="159">
        <v>1</v>
      </c>
      <c r="L93" s="160">
        <v>0</v>
      </c>
      <c r="M93" s="83" t="str">
        <f t="shared" si="1"/>
        <v>RRF</v>
      </c>
      <c r="N93" s="89">
        <v>53</v>
      </c>
      <c r="O93" s="183">
        <v>0.93999999761581421</v>
      </c>
      <c r="P93" s="183">
        <v>1</v>
      </c>
      <c r="Q93" s="183">
        <v>6.0000002384185791E-2</v>
      </c>
      <c r="R93" s="185">
        <v>0</v>
      </c>
    </row>
    <row r="94" spans="1:35" x14ac:dyDescent="0.25">
      <c r="A94" t="s">
        <v>25</v>
      </c>
      <c r="B94" t="s">
        <v>26</v>
      </c>
      <c r="C94" s="133">
        <v>977</v>
      </c>
      <c r="D94" s="134">
        <v>377</v>
      </c>
      <c r="E94" s="134">
        <v>306</v>
      </c>
      <c r="F94" s="134">
        <v>294</v>
      </c>
      <c r="G94" s="134" t="s">
        <v>224</v>
      </c>
      <c r="H94" s="134">
        <v>292</v>
      </c>
      <c r="I94" s="162">
        <v>0.06</v>
      </c>
      <c r="J94" s="134">
        <v>213</v>
      </c>
      <c r="K94" s="162">
        <v>0.92</v>
      </c>
      <c r="L94" s="163">
        <v>1.6E-2</v>
      </c>
      <c r="M94" s="83" t="str">
        <f t="shared" si="1"/>
        <v>RCB</v>
      </c>
      <c r="N94" s="89">
        <v>50</v>
      </c>
      <c r="O94" s="183">
        <v>0.87000000476837158</v>
      </c>
      <c r="P94" s="183">
        <v>0.94999998807907104</v>
      </c>
      <c r="Q94" s="183">
        <v>4.9999995231628458E-2</v>
      </c>
      <c r="R94" s="185">
        <v>2.9999988079071005E-2</v>
      </c>
    </row>
  </sheetData>
  <sortState ref="A2:W91">
    <sortCondition ref="B2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workbookViewId="0">
      <pane xSplit="2" ySplit="7" topLeftCell="C8" activePane="bottomRight" state="frozen"/>
      <selection pane="topRight" activeCell="C1" sqref="C1"/>
      <selection pane="bottomLeft" activeCell="A2" sqref="A2"/>
      <selection pane="bottomRight" activeCell="T7" sqref="A7:T7"/>
    </sheetView>
  </sheetViews>
  <sheetFormatPr defaultColWidth="15.85546875" defaultRowHeight="15" x14ac:dyDescent="0.25"/>
  <cols>
    <col min="1" max="1" width="10.140625" bestFit="1" customWidth="1"/>
    <col min="2" max="2" width="61" bestFit="1" customWidth="1"/>
    <col min="5" max="5" width="23.7109375" customWidth="1"/>
    <col min="6" max="6" width="19.28515625" customWidth="1"/>
    <col min="7" max="7" width="13.7109375" bestFit="1" customWidth="1"/>
    <col min="8" max="8" width="13.5703125" bestFit="1" customWidth="1"/>
    <col min="13" max="13" width="20" customWidth="1"/>
    <col min="14" max="15" width="19.28515625" customWidth="1"/>
    <col min="16" max="16" width="11.140625" customWidth="1"/>
    <col min="17" max="17" width="10.5703125" customWidth="1"/>
    <col min="21" max="21" width="10.140625" bestFit="1" customWidth="1"/>
    <col min="22" max="22" width="12" bestFit="1" customWidth="1"/>
    <col min="23" max="23" width="14.85546875" customWidth="1"/>
    <col min="24" max="24" width="6.28515625" bestFit="1" customWidth="1"/>
    <col min="25" max="25" width="11.42578125" bestFit="1" customWidth="1"/>
    <col min="26" max="26" width="14" bestFit="1" customWidth="1"/>
    <col min="27" max="27" width="14.42578125" bestFit="1" customWidth="1"/>
    <col min="28" max="28" width="14" bestFit="1" customWidth="1"/>
    <col min="29" max="29" width="15" bestFit="1" customWidth="1"/>
    <col min="30" max="30" width="14" bestFit="1" customWidth="1"/>
    <col min="31" max="31" width="15.7109375" bestFit="1" customWidth="1"/>
    <col min="32" max="32" width="8.42578125" bestFit="1" customWidth="1"/>
    <col min="33" max="33" width="11.42578125" bestFit="1" customWidth="1"/>
    <col min="34" max="34" width="8.140625" bestFit="1" customWidth="1"/>
    <col min="35" max="35" width="8.28515625" bestFit="1" customWidth="1"/>
    <col min="36" max="36" width="8.85546875" bestFit="1" customWidth="1"/>
    <col min="37" max="37" width="11" style="11" customWidth="1"/>
    <col min="38" max="38" width="12.7109375" style="11" customWidth="1"/>
    <col min="39" max="39" width="13.42578125" bestFit="1" customWidth="1"/>
  </cols>
  <sheetData>
    <row r="1" spans="1:39" x14ac:dyDescent="0.25">
      <c r="A1">
        <v>0</v>
      </c>
      <c r="B1" t="s">
        <v>318</v>
      </c>
      <c r="R1">
        <f t="shared" ref="R1:S5" si="0">QUARTILE(R$8:R$76,$A1)</f>
        <v>0.15</v>
      </c>
      <c r="S1">
        <f t="shared" si="0"/>
        <v>0</v>
      </c>
    </row>
    <row r="2" spans="1:39" x14ac:dyDescent="0.25">
      <c r="A2">
        <v>1</v>
      </c>
      <c r="B2" t="s">
        <v>319</v>
      </c>
      <c r="R2">
        <f t="shared" si="0"/>
        <v>0.61749999999999994</v>
      </c>
      <c r="S2">
        <f t="shared" si="0"/>
        <v>0.80249999999999999</v>
      </c>
    </row>
    <row r="3" spans="1:39" x14ac:dyDescent="0.25">
      <c r="A3">
        <v>2</v>
      </c>
      <c r="B3" t="s">
        <v>320</v>
      </c>
      <c r="R3">
        <f t="shared" si="0"/>
        <v>0.86</v>
      </c>
      <c r="S3">
        <f t="shared" si="0"/>
        <v>0.90500000000000003</v>
      </c>
    </row>
    <row r="4" spans="1:39" x14ac:dyDescent="0.25">
      <c r="A4">
        <v>3</v>
      </c>
      <c r="B4" t="s">
        <v>321</v>
      </c>
      <c r="R4">
        <f t="shared" si="0"/>
        <v>0.9375</v>
      </c>
      <c r="S4">
        <f t="shared" si="0"/>
        <v>0.98</v>
      </c>
    </row>
    <row r="5" spans="1:39" x14ac:dyDescent="0.25">
      <c r="A5">
        <v>4</v>
      </c>
      <c r="B5" t="s">
        <v>322</v>
      </c>
      <c r="R5">
        <f t="shared" si="0"/>
        <v>1</v>
      </c>
      <c r="S5">
        <f t="shared" si="0"/>
        <v>1</v>
      </c>
    </row>
    <row r="7" spans="1:39" ht="90" x14ac:dyDescent="0.25">
      <c r="A7" s="68" t="s">
        <v>150</v>
      </c>
      <c r="B7" s="69" t="s">
        <v>149</v>
      </c>
      <c r="C7" s="70" t="s">
        <v>724</v>
      </c>
      <c r="D7" s="70" t="s">
        <v>725</v>
      </c>
      <c r="E7" s="71" t="s">
        <v>844</v>
      </c>
      <c r="F7" s="71" t="s">
        <v>950</v>
      </c>
      <c r="G7" s="71" t="s">
        <v>842</v>
      </c>
      <c r="H7" s="71" t="s">
        <v>843</v>
      </c>
      <c r="I7" s="70" t="s">
        <v>726</v>
      </c>
      <c r="J7" s="70" t="s">
        <v>845</v>
      </c>
      <c r="K7" s="70" t="s">
        <v>846</v>
      </c>
      <c r="L7" s="72" t="s">
        <v>727</v>
      </c>
      <c r="M7" s="71" t="s">
        <v>950</v>
      </c>
      <c r="N7" s="71" t="s">
        <v>948</v>
      </c>
      <c r="O7" s="71" t="s">
        <v>949</v>
      </c>
      <c r="P7" s="71" t="s">
        <v>951</v>
      </c>
      <c r="Q7" s="71" t="s">
        <v>952</v>
      </c>
      <c r="R7" s="73" t="s">
        <v>728</v>
      </c>
      <c r="S7" s="74" t="s">
        <v>729</v>
      </c>
      <c r="T7" s="75" t="s">
        <v>730</v>
      </c>
      <c r="U7" s="6" t="s">
        <v>150</v>
      </c>
      <c r="V7" s="12" t="s">
        <v>731</v>
      </c>
      <c r="W7" s="12" t="s">
        <v>732</v>
      </c>
      <c r="X7" s="31" t="s">
        <v>346</v>
      </c>
      <c r="Y7" s="31" t="s">
        <v>345</v>
      </c>
      <c r="Z7" s="9" t="s">
        <v>733</v>
      </c>
      <c r="AA7" s="9" t="s">
        <v>734</v>
      </c>
      <c r="AB7" s="9" t="s">
        <v>735</v>
      </c>
      <c r="AC7" s="9" t="s">
        <v>736</v>
      </c>
      <c r="AD7" s="9" t="s">
        <v>737</v>
      </c>
      <c r="AE7" s="9" t="s">
        <v>738</v>
      </c>
      <c r="AF7" s="33" t="s">
        <v>347</v>
      </c>
      <c r="AG7" s="33" t="s">
        <v>348</v>
      </c>
      <c r="AH7" s="33" t="s">
        <v>571</v>
      </c>
      <c r="AI7" s="33" t="s">
        <v>572</v>
      </c>
      <c r="AJ7" s="33" t="s">
        <v>493</v>
      </c>
      <c r="AK7" s="93" t="s">
        <v>739</v>
      </c>
      <c r="AL7" s="93" t="s">
        <v>740</v>
      </c>
      <c r="AM7" s="33" t="s">
        <v>741</v>
      </c>
    </row>
    <row r="8" spans="1:39" x14ac:dyDescent="0.25">
      <c r="A8" s="139" t="s">
        <v>6</v>
      </c>
      <c r="B8" s="139" t="s">
        <v>7</v>
      </c>
      <c r="C8" s="140">
        <v>37</v>
      </c>
      <c r="D8" s="140">
        <v>124</v>
      </c>
      <c r="E8" s="141" t="s">
        <v>742</v>
      </c>
      <c r="F8" s="145">
        <v>1</v>
      </c>
      <c r="G8" s="141">
        <v>15</v>
      </c>
      <c r="H8" s="141">
        <v>22</v>
      </c>
      <c r="I8" s="142">
        <v>0.68</v>
      </c>
      <c r="J8" s="142">
        <v>0.35</v>
      </c>
      <c r="K8" s="142">
        <v>1.31</v>
      </c>
      <c r="L8" s="141" t="s">
        <v>538</v>
      </c>
      <c r="M8" s="141">
        <v>100</v>
      </c>
      <c r="N8" s="181">
        <v>81.5</v>
      </c>
      <c r="O8" s="181">
        <v>100</v>
      </c>
      <c r="P8" s="181">
        <f>M8-N8</f>
        <v>18.5</v>
      </c>
      <c r="Q8" s="181">
        <f>O8-M8</f>
        <v>0</v>
      </c>
      <c r="R8" s="144">
        <v>0.73</v>
      </c>
      <c r="S8" s="144">
        <v>0.86</v>
      </c>
      <c r="T8" s="145">
        <v>5.2999999999999999E-2</v>
      </c>
      <c r="U8" t="str">
        <f t="shared" ref="U8:U39" si="1">A8</f>
        <v>7A6</v>
      </c>
      <c r="V8">
        <f t="shared" ref="V8:V39" si="2">+IF(R8&lt;R$2,1,IF(R8&lt;R$3,2,IF(R8&lt;R$4,3,4)))</f>
        <v>2</v>
      </c>
      <c r="W8">
        <f t="shared" ref="W8:W39" si="3">+IF(S8&lt;S$2,1,IF(S8&lt;S$3,2,IF(S8&lt;S$4,3,4)))</f>
        <v>2</v>
      </c>
      <c r="X8" s="46">
        <f>IF('Amputation Summary'!$Q$33=2,RANK(S8,S$8:S$76,1)+COUNTIF($S$8:S8,S8)-1,IF('Amputation Summary'!$Q$33=1,RANK(R8,R$8:R$76,1)+COUNTIF($R8:R8,R8)-1))</f>
        <v>22</v>
      </c>
      <c r="Y8" s="8">
        <f>IF( 'Amputation Summary'!$Q$33=2, S8, IF('Amputation Summary'!$Q$33=1,R8))</f>
        <v>0.73</v>
      </c>
      <c r="Z8" s="11">
        <v>8</v>
      </c>
      <c r="AA8">
        <v>5</v>
      </c>
      <c r="AB8">
        <f>Z8-AA8</f>
        <v>3</v>
      </c>
      <c r="AC8">
        <v>11</v>
      </c>
      <c r="AD8">
        <f>AC8-Z8</f>
        <v>3</v>
      </c>
      <c r="AE8">
        <v>42</v>
      </c>
      <c r="AF8" s="46">
        <f>AE8</f>
        <v>42</v>
      </c>
      <c r="AG8" s="11">
        <f>IF('Amputation Summary'!$O$4=2, M8, IF('Amputation Summary'!$O$4=1,Z8))</f>
        <v>8</v>
      </c>
      <c r="AH8" s="11">
        <f>IF('Amputation Summary'!$O$4=2, P8, IF('Amputation Summary'!$O$4=1,AB8))</f>
        <v>3</v>
      </c>
      <c r="AI8" s="11">
        <f>IF('Amputation Summary'!$O$4=2, Q8, IF('Amputation Summary'!$O$4=1,AD8))</f>
        <v>3</v>
      </c>
      <c r="AJ8">
        <v>1</v>
      </c>
      <c r="AK8" s="152">
        <f t="shared" ref="AK8:AK39" si="4">K8-I8</f>
        <v>0.63</v>
      </c>
      <c r="AL8" s="152">
        <f t="shared" ref="AL8:AL39" si="5">I8-J8</f>
        <v>0.33000000000000007</v>
      </c>
      <c r="AM8">
        <v>12</v>
      </c>
    </row>
    <row r="9" spans="1:39" x14ac:dyDescent="0.25">
      <c r="A9" s="139" t="s">
        <v>35</v>
      </c>
      <c r="B9" s="139" t="s">
        <v>353</v>
      </c>
      <c r="C9" s="140">
        <v>23</v>
      </c>
      <c r="D9" s="140">
        <v>95</v>
      </c>
      <c r="E9" s="141" t="s">
        <v>743</v>
      </c>
      <c r="F9" s="145">
        <v>0.68421053886413574</v>
      </c>
      <c r="G9" s="141">
        <v>14</v>
      </c>
      <c r="H9" s="141">
        <v>9</v>
      </c>
      <c r="I9" s="142">
        <v>1.56</v>
      </c>
      <c r="J9" s="142">
        <v>0.67</v>
      </c>
      <c r="K9" s="142">
        <v>3.59</v>
      </c>
      <c r="L9" s="141" t="s">
        <v>783</v>
      </c>
      <c r="M9" s="141">
        <v>68.400000000000006</v>
      </c>
      <c r="N9" s="181">
        <v>43.4</v>
      </c>
      <c r="O9" s="181">
        <v>87.4</v>
      </c>
      <c r="P9" s="181">
        <f t="shared" ref="P9:P72" si="6">M9-N9</f>
        <v>25.000000000000007</v>
      </c>
      <c r="Q9" s="181">
        <f t="shared" ref="Q9:Q72" si="7">O9-M9</f>
        <v>19</v>
      </c>
      <c r="R9" s="144">
        <v>0.35</v>
      </c>
      <c r="S9" s="144">
        <v>0.04</v>
      </c>
      <c r="T9" s="145">
        <v>9.5000000000000001E-2</v>
      </c>
      <c r="U9" t="str">
        <f t="shared" si="1"/>
        <v>RF4</v>
      </c>
      <c r="V9">
        <f t="shared" si="2"/>
        <v>1</v>
      </c>
      <c r="W9">
        <f t="shared" si="3"/>
        <v>1</v>
      </c>
      <c r="X9" s="46">
        <f>IF('Amputation Summary'!$Q$33=2,RANK(S9,S$8:S$76,1)+COUNTIF($S$8:S9,S9)-1,IF('Amputation Summary'!$Q$33=1,RANK(R9,R$8:R$76,1)+COUNTIF($R9:R9,R9)-1))</f>
        <v>5</v>
      </c>
      <c r="Y9" s="8">
        <f>IF( 'Amputation Summary'!$Q$33=2, S9, IF('Amputation Summary'!$Q$33=1,R9))</f>
        <v>0.35</v>
      </c>
      <c r="Z9" s="11">
        <v>10</v>
      </c>
      <c r="AA9">
        <v>5</v>
      </c>
      <c r="AB9">
        <f t="shared" ref="AB9:AB72" si="8">Z9-AA9</f>
        <v>5</v>
      </c>
      <c r="AC9">
        <v>66</v>
      </c>
      <c r="AD9">
        <f t="shared" ref="AD9:AD72" si="9">AC9-Z9</f>
        <v>56</v>
      </c>
      <c r="AE9">
        <v>53</v>
      </c>
      <c r="AF9" s="46">
        <f t="shared" ref="AF9:AF72" si="10">AE9</f>
        <v>53</v>
      </c>
      <c r="AG9" s="11">
        <f>IF('Amputation Summary'!$O$4=2, M9, IF('Amputation Summary'!$O$4=1,Z9))</f>
        <v>10</v>
      </c>
      <c r="AH9" s="11">
        <f>IF('Amputation Summary'!$O$4=2, P9, IF('Amputation Summary'!$O$4=1,AB9))</f>
        <v>5</v>
      </c>
      <c r="AI9" s="11">
        <f>IF('Amputation Summary'!$O$4=2, Q9, IF('Amputation Summary'!$O$4=1,AD9))</f>
        <v>56</v>
      </c>
      <c r="AJ9">
        <v>1</v>
      </c>
      <c r="AK9" s="152">
        <f t="shared" si="4"/>
        <v>2.0299999999999998</v>
      </c>
      <c r="AL9" s="152">
        <f t="shared" si="5"/>
        <v>0.89</v>
      </c>
      <c r="AM9">
        <v>53</v>
      </c>
    </row>
    <row r="10" spans="1:39" x14ac:dyDescent="0.25">
      <c r="A10" s="139" t="s">
        <v>10</v>
      </c>
      <c r="B10" s="139" t="s">
        <v>11</v>
      </c>
      <c r="C10" s="140">
        <v>59</v>
      </c>
      <c r="D10" s="140">
        <v>167</v>
      </c>
      <c r="E10" s="141" t="s">
        <v>204</v>
      </c>
      <c r="F10" s="145">
        <v>0.88571429252624512</v>
      </c>
      <c r="G10" s="141">
        <v>42</v>
      </c>
      <c r="H10" s="141">
        <v>17</v>
      </c>
      <c r="I10" s="142">
        <v>2.4700000000000002</v>
      </c>
      <c r="J10" s="142">
        <v>1.41</v>
      </c>
      <c r="K10" s="142">
        <v>4.34</v>
      </c>
      <c r="L10" s="141" t="s">
        <v>784</v>
      </c>
      <c r="M10" s="141">
        <v>88.6</v>
      </c>
      <c r="N10" s="181">
        <v>73.3</v>
      </c>
      <c r="O10" s="181">
        <v>96.8</v>
      </c>
      <c r="P10" s="181">
        <f t="shared" si="6"/>
        <v>15.299999999999997</v>
      </c>
      <c r="Q10" s="181">
        <f t="shared" si="7"/>
        <v>8.2000000000000028</v>
      </c>
      <c r="R10" s="144">
        <v>1</v>
      </c>
      <c r="S10" s="144">
        <v>0.92</v>
      </c>
      <c r="T10" s="145">
        <v>9.4E-2</v>
      </c>
      <c r="U10" t="str">
        <f t="shared" si="1"/>
        <v>R1H</v>
      </c>
      <c r="V10">
        <f t="shared" si="2"/>
        <v>4</v>
      </c>
      <c r="W10">
        <f t="shared" si="3"/>
        <v>3</v>
      </c>
      <c r="X10" s="46">
        <f>IF('Amputation Summary'!$Q$33=2,RANK(S10,S$8:S$76,1)+COUNTIF($S$8:S10,S10)-1,IF('Amputation Summary'!$Q$33=1,RANK(R10,R$8:R$76,1)+COUNTIF($R10:R10,R10)-1))</f>
        <v>57</v>
      </c>
      <c r="Y10" s="8">
        <f>IF( 'Amputation Summary'!$Q$33=2, S10, IF('Amputation Summary'!$Q$33=1,R10))</f>
        <v>1</v>
      </c>
      <c r="Z10" s="11">
        <v>6</v>
      </c>
      <c r="AA10">
        <v>3</v>
      </c>
      <c r="AB10">
        <f t="shared" si="8"/>
        <v>3</v>
      </c>
      <c r="AC10">
        <v>12</v>
      </c>
      <c r="AD10">
        <f t="shared" si="9"/>
        <v>6</v>
      </c>
      <c r="AE10">
        <v>27</v>
      </c>
      <c r="AF10" s="46">
        <f t="shared" si="10"/>
        <v>27</v>
      </c>
      <c r="AG10" s="11">
        <f>IF('Amputation Summary'!$O$4=2, M10, IF('Amputation Summary'!$O$4=1,Z10))</f>
        <v>6</v>
      </c>
      <c r="AH10" s="11">
        <f>IF('Amputation Summary'!$O$4=2, P10, IF('Amputation Summary'!$O$4=1,AB10))</f>
        <v>3</v>
      </c>
      <c r="AI10" s="11">
        <f>IF('Amputation Summary'!$O$4=2, Q10, IF('Amputation Summary'!$O$4=1,AD10))</f>
        <v>6</v>
      </c>
      <c r="AJ10">
        <v>1</v>
      </c>
      <c r="AK10" s="152">
        <f t="shared" si="4"/>
        <v>1.8699999999999997</v>
      </c>
      <c r="AL10" s="152">
        <f t="shared" si="5"/>
        <v>1.0600000000000003</v>
      </c>
      <c r="AM10">
        <v>61</v>
      </c>
    </row>
    <row r="11" spans="1:39" x14ac:dyDescent="0.25">
      <c r="A11" s="139" t="s">
        <v>610</v>
      </c>
      <c r="B11" s="139" t="s">
        <v>611</v>
      </c>
      <c r="C11" s="140">
        <v>46</v>
      </c>
      <c r="D11" s="140">
        <v>122</v>
      </c>
      <c r="E11" s="141" t="s">
        <v>744</v>
      </c>
      <c r="F11" s="145">
        <v>0.81818181276321411</v>
      </c>
      <c r="G11" s="141">
        <v>19</v>
      </c>
      <c r="H11" s="141">
        <v>27</v>
      </c>
      <c r="I11" s="142">
        <v>0.7</v>
      </c>
      <c r="J11" s="142">
        <v>0.39</v>
      </c>
      <c r="K11" s="142">
        <v>1.27</v>
      </c>
      <c r="L11" s="141" t="s">
        <v>785</v>
      </c>
      <c r="M11" s="141">
        <v>81.8</v>
      </c>
      <c r="N11" s="181">
        <v>59.699999999999996</v>
      </c>
      <c r="O11" s="181">
        <v>94.8</v>
      </c>
      <c r="P11" s="181">
        <f t="shared" si="6"/>
        <v>22.1</v>
      </c>
      <c r="Q11" s="181">
        <f t="shared" si="7"/>
        <v>13</v>
      </c>
      <c r="R11" s="144">
        <v>0.87</v>
      </c>
      <c r="S11" s="144">
        <v>0.96</v>
      </c>
      <c r="T11" s="145">
        <v>5.6000000000000001E-2</v>
      </c>
      <c r="U11" t="str">
        <f t="shared" si="1"/>
        <v>RC9</v>
      </c>
      <c r="V11">
        <f t="shared" si="2"/>
        <v>3</v>
      </c>
      <c r="W11">
        <f t="shared" si="3"/>
        <v>3</v>
      </c>
      <c r="X11" s="46">
        <f>IF('Amputation Summary'!$Q$33=2,RANK(S11,S$8:S$76,1)+COUNTIF($S$8:S11,S11)-1,IF('Amputation Summary'!$Q$33=1,RANK(R11,R$8:R$76,1)+COUNTIF($R11:R11,R11)-1))</f>
        <v>35</v>
      </c>
      <c r="Y11" s="8">
        <f>IF( 'Amputation Summary'!$Q$33=2, S11, IF('Amputation Summary'!$Q$33=1,R11))</f>
        <v>0.87</v>
      </c>
      <c r="Z11" s="11">
        <v>6</v>
      </c>
      <c r="AA11">
        <v>2</v>
      </c>
      <c r="AB11">
        <f t="shared" si="8"/>
        <v>4</v>
      </c>
      <c r="AC11">
        <v>12</v>
      </c>
      <c r="AD11">
        <f t="shared" si="9"/>
        <v>6</v>
      </c>
      <c r="AE11">
        <v>24</v>
      </c>
      <c r="AF11" s="46">
        <f t="shared" si="10"/>
        <v>24</v>
      </c>
      <c r="AG11" s="11">
        <f>IF('Amputation Summary'!$O$4=2, M11, IF('Amputation Summary'!$O$4=1,Z11))</f>
        <v>6</v>
      </c>
      <c r="AH11" s="11">
        <f>IF('Amputation Summary'!$O$4=2, P11, IF('Amputation Summary'!$O$4=1,AB11))</f>
        <v>4</v>
      </c>
      <c r="AI11" s="11">
        <f>IF('Amputation Summary'!$O$4=2, Q11, IF('Amputation Summary'!$O$4=1,AD11))</f>
        <v>6</v>
      </c>
      <c r="AJ11">
        <v>1</v>
      </c>
      <c r="AK11" s="152">
        <f t="shared" si="4"/>
        <v>0.57000000000000006</v>
      </c>
      <c r="AL11" s="152">
        <f t="shared" si="5"/>
        <v>0.30999999999999994</v>
      </c>
      <c r="AM11">
        <v>13</v>
      </c>
    </row>
    <row r="12" spans="1:39" x14ac:dyDescent="0.25">
      <c r="A12" s="139" t="s">
        <v>147</v>
      </c>
      <c r="B12" s="139" t="s">
        <v>148</v>
      </c>
      <c r="C12" s="140">
        <v>119</v>
      </c>
      <c r="D12" s="140">
        <v>342</v>
      </c>
      <c r="E12" s="141" t="s">
        <v>745</v>
      </c>
      <c r="F12" s="145">
        <v>0.79411762952804565</v>
      </c>
      <c r="G12" s="141">
        <v>47</v>
      </c>
      <c r="H12" s="141">
        <v>72</v>
      </c>
      <c r="I12" s="142">
        <v>0.65</v>
      </c>
      <c r="J12" s="142">
        <v>0.45</v>
      </c>
      <c r="K12" s="142">
        <v>0.94</v>
      </c>
      <c r="L12" s="141" t="s">
        <v>786</v>
      </c>
      <c r="M12" s="141">
        <v>79.400000000000006</v>
      </c>
      <c r="N12" s="181">
        <v>67.900000000000006</v>
      </c>
      <c r="O12" s="181">
        <v>88.3</v>
      </c>
      <c r="P12" s="181">
        <f t="shared" si="6"/>
        <v>11.5</v>
      </c>
      <c r="Q12" s="181">
        <f t="shared" si="7"/>
        <v>8.8999999999999915</v>
      </c>
      <c r="R12" s="144">
        <v>0.56999999999999995</v>
      </c>
      <c r="S12" s="144">
        <v>0.86</v>
      </c>
      <c r="T12" s="145">
        <v>4.4999999999999998E-2</v>
      </c>
      <c r="U12" t="str">
        <f t="shared" si="1"/>
        <v>ZT001</v>
      </c>
      <c r="V12">
        <f t="shared" si="2"/>
        <v>1</v>
      </c>
      <c r="W12">
        <f t="shared" si="3"/>
        <v>2</v>
      </c>
      <c r="X12" s="46">
        <f>IF('Amputation Summary'!$Q$33=2,RANK(S12,S$8:S$76,1)+COUNTIF($S$8:S12,S12)-1,IF('Amputation Summary'!$Q$33=1,RANK(R12,R$8:R$76,1)+COUNTIF($R12:R12,R12)-1))</f>
        <v>15</v>
      </c>
      <c r="Y12" s="8">
        <f>IF( 'Amputation Summary'!$Q$33=2, S12, IF('Amputation Summary'!$Q$33=1,R12))</f>
        <v>0.56999999999999995</v>
      </c>
      <c r="Z12" s="11">
        <v>8</v>
      </c>
      <c r="AA12">
        <v>4</v>
      </c>
      <c r="AB12">
        <f t="shared" si="8"/>
        <v>4</v>
      </c>
      <c r="AC12">
        <v>27</v>
      </c>
      <c r="AD12">
        <f t="shared" si="9"/>
        <v>19</v>
      </c>
      <c r="AE12">
        <v>40</v>
      </c>
      <c r="AF12" s="46">
        <f t="shared" si="10"/>
        <v>40</v>
      </c>
      <c r="AG12" s="11">
        <f>IF('Amputation Summary'!$O$4=2, M12, IF('Amputation Summary'!$O$4=1,Z12))</f>
        <v>8</v>
      </c>
      <c r="AH12" s="11">
        <f>IF('Amputation Summary'!$O$4=2, P12, IF('Amputation Summary'!$O$4=1,AB12))</f>
        <v>4</v>
      </c>
      <c r="AI12" s="11">
        <f>IF('Amputation Summary'!$O$4=2, Q12, IF('Amputation Summary'!$O$4=1,AD12))</f>
        <v>19</v>
      </c>
      <c r="AJ12">
        <v>1</v>
      </c>
      <c r="AK12" s="152">
        <f t="shared" si="4"/>
        <v>0.28999999999999992</v>
      </c>
      <c r="AL12" s="152">
        <f t="shared" si="5"/>
        <v>0.2</v>
      </c>
      <c r="AM12">
        <v>10</v>
      </c>
    </row>
    <row r="13" spans="1:39" x14ac:dyDescent="0.25">
      <c r="A13" s="139" t="s">
        <v>0</v>
      </c>
      <c r="B13" s="139" t="s">
        <v>1</v>
      </c>
      <c r="C13" s="140">
        <v>67</v>
      </c>
      <c r="D13" s="140">
        <v>204</v>
      </c>
      <c r="E13" s="141" t="s">
        <v>746</v>
      </c>
      <c r="F13" s="145">
        <v>0.78571426868438721</v>
      </c>
      <c r="G13" s="141">
        <v>30</v>
      </c>
      <c r="H13" s="141">
        <v>37</v>
      </c>
      <c r="I13" s="142">
        <v>0.81</v>
      </c>
      <c r="J13" s="142">
        <v>0.5</v>
      </c>
      <c r="K13" s="142">
        <v>1.31</v>
      </c>
      <c r="L13" s="141" t="s">
        <v>787</v>
      </c>
      <c r="M13" s="141">
        <v>78.599999999999994</v>
      </c>
      <c r="N13" s="181">
        <v>65.599999999999994</v>
      </c>
      <c r="O13" s="181">
        <v>88.4</v>
      </c>
      <c r="P13" s="181">
        <f t="shared" si="6"/>
        <v>13</v>
      </c>
      <c r="Q13" s="181">
        <f t="shared" si="7"/>
        <v>9.8000000000000114</v>
      </c>
      <c r="R13" s="144">
        <v>0.97</v>
      </c>
      <c r="S13" s="144">
        <v>0.93</v>
      </c>
      <c r="T13" s="145">
        <v>8.5999999999999993E-2</v>
      </c>
      <c r="U13" t="str">
        <f t="shared" si="1"/>
        <v>7A1</v>
      </c>
      <c r="V13">
        <f t="shared" si="2"/>
        <v>4</v>
      </c>
      <c r="W13">
        <f t="shared" si="3"/>
        <v>3</v>
      </c>
      <c r="X13" s="46">
        <f>IF('Amputation Summary'!$Q$33=2,RANK(S13,S$8:S$76,1)+COUNTIF($S$8:S13,S13)-1,IF('Amputation Summary'!$Q$33=1,RANK(R13,R$8:R$76,1)+COUNTIF($R13:R13,R13)-1))</f>
        <v>54</v>
      </c>
      <c r="Y13" s="8">
        <f>IF( 'Amputation Summary'!$Q$33=2, S13, IF('Amputation Summary'!$Q$33=1,R13))</f>
        <v>0.97</v>
      </c>
      <c r="Z13" s="11">
        <v>15</v>
      </c>
      <c r="AA13">
        <v>5</v>
      </c>
      <c r="AB13">
        <f t="shared" si="8"/>
        <v>10</v>
      </c>
      <c r="AC13">
        <v>28</v>
      </c>
      <c r="AD13">
        <f t="shared" si="9"/>
        <v>13</v>
      </c>
      <c r="AE13">
        <v>63</v>
      </c>
      <c r="AF13" s="46">
        <f t="shared" si="10"/>
        <v>63</v>
      </c>
      <c r="AG13" s="11">
        <f>IF('Amputation Summary'!$O$4=2, M13, IF('Amputation Summary'!$O$4=1,Z13))</f>
        <v>15</v>
      </c>
      <c r="AH13" s="11">
        <f>IF('Amputation Summary'!$O$4=2, P13, IF('Amputation Summary'!$O$4=1,AB13))</f>
        <v>10</v>
      </c>
      <c r="AI13" s="11">
        <f>IF('Amputation Summary'!$O$4=2, Q13, IF('Amputation Summary'!$O$4=1,AD13))</f>
        <v>13</v>
      </c>
      <c r="AJ13">
        <v>1</v>
      </c>
      <c r="AK13" s="152">
        <f t="shared" si="4"/>
        <v>0.5</v>
      </c>
      <c r="AL13" s="152">
        <f t="shared" si="5"/>
        <v>0.31000000000000005</v>
      </c>
      <c r="AM13">
        <v>21</v>
      </c>
    </row>
    <row r="14" spans="1:39" x14ac:dyDescent="0.25">
      <c r="A14" s="139" t="s">
        <v>15</v>
      </c>
      <c r="B14" s="139" t="s">
        <v>16</v>
      </c>
      <c r="C14" s="140">
        <v>21</v>
      </c>
      <c r="D14" s="140">
        <v>98</v>
      </c>
      <c r="E14" s="141" t="s">
        <v>747</v>
      </c>
      <c r="F14" s="145">
        <v>0.66666668653488159</v>
      </c>
      <c r="G14" s="141">
        <v>15</v>
      </c>
      <c r="H14" s="141">
        <v>6</v>
      </c>
      <c r="I14" s="142">
        <v>2.5</v>
      </c>
      <c r="J14" s="142">
        <v>0.97</v>
      </c>
      <c r="K14" s="142">
        <v>6.44</v>
      </c>
      <c r="L14" s="141" t="s">
        <v>788</v>
      </c>
      <c r="M14" s="141">
        <v>66.7</v>
      </c>
      <c r="N14" s="181">
        <v>34.9</v>
      </c>
      <c r="O14" s="181">
        <v>90.1</v>
      </c>
      <c r="P14" s="181">
        <f t="shared" si="6"/>
        <v>31.800000000000004</v>
      </c>
      <c r="Q14" s="181">
        <f t="shared" si="7"/>
        <v>23.399999999999991</v>
      </c>
      <c r="R14" s="144">
        <v>0.9</v>
      </c>
      <c r="S14" s="144">
        <v>0.95</v>
      </c>
      <c r="T14" s="145">
        <v>3.7999999999999999E-2</v>
      </c>
      <c r="U14" t="str">
        <f t="shared" si="1"/>
        <v>RAE</v>
      </c>
      <c r="V14">
        <f t="shared" si="2"/>
        <v>3</v>
      </c>
      <c r="W14">
        <f t="shared" si="3"/>
        <v>3</v>
      </c>
      <c r="X14" s="46">
        <f>IF('Amputation Summary'!$Q$33=2,RANK(S14,S$8:S$76,1)+COUNTIF($S$8:S14,S14)-1,IF('Amputation Summary'!$Q$33=1,RANK(R14,R$8:R$76,1)+COUNTIF($R14:R14,R14)-1))</f>
        <v>39</v>
      </c>
      <c r="Y14" s="8">
        <f>IF( 'Amputation Summary'!$Q$33=2, S14, IF('Amputation Summary'!$Q$33=1,R14))</f>
        <v>0.9</v>
      </c>
      <c r="Z14" s="11">
        <v>10</v>
      </c>
      <c r="AA14">
        <v>5</v>
      </c>
      <c r="AB14">
        <f t="shared" si="8"/>
        <v>5</v>
      </c>
      <c r="AC14">
        <v>41</v>
      </c>
      <c r="AD14">
        <f t="shared" si="9"/>
        <v>31</v>
      </c>
      <c r="AE14">
        <v>52</v>
      </c>
      <c r="AF14" s="46">
        <f t="shared" si="10"/>
        <v>52</v>
      </c>
      <c r="AG14" s="11">
        <f>IF('Amputation Summary'!$O$4=2, M14, IF('Amputation Summary'!$O$4=1,Z14))</f>
        <v>10</v>
      </c>
      <c r="AH14" s="11">
        <f>IF('Amputation Summary'!$O$4=2, P14, IF('Amputation Summary'!$O$4=1,AB14))</f>
        <v>5</v>
      </c>
      <c r="AI14" s="11">
        <f>IF('Amputation Summary'!$O$4=2, Q14, IF('Amputation Summary'!$O$4=1,AD14))</f>
        <v>31</v>
      </c>
      <c r="AJ14">
        <v>1</v>
      </c>
      <c r="AK14" s="152">
        <f t="shared" si="4"/>
        <v>3.9400000000000004</v>
      </c>
      <c r="AL14" s="152">
        <f t="shared" si="5"/>
        <v>1.53</v>
      </c>
      <c r="AM14">
        <v>62</v>
      </c>
    </row>
    <row r="15" spans="1:39" x14ac:dyDescent="0.25">
      <c r="A15" s="139" t="s">
        <v>40</v>
      </c>
      <c r="B15" s="139" t="s">
        <v>41</v>
      </c>
      <c r="C15" s="140">
        <v>66</v>
      </c>
      <c r="D15" s="140">
        <v>192</v>
      </c>
      <c r="E15" s="141" t="s">
        <v>191</v>
      </c>
      <c r="F15" s="145">
        <v>0.89999997615814209</v>
      </c>
      <c r="G15" s="141">
        <v>26</v>
      </c>
      <c r="H15" s="141">
        <v>40</v>
      </c>
      <c r="I15" s="142">
        <v>0.65</v>
      </c>
      <c r="J15" s="142">
        <v>0.4</v>
      </c>
      <c r="K15" s="142">
        <v>1.06</v>
      </c>
      <c r="L15" s="141" t="s">
        <v>789</v>
      </c>
      <c r="M15" s="141">
        <v>90</v>
      </c>
      <c r="N15" s="181">
        <v>68.3</v>
      </c>
      <c r="O15" s="181">
        <v>98.8</v>
      </c>
      <c r="P15" s="181">
        <f t="shared" si="6"/>
        <v>21.700000000000003</v>
      </c>
      <c r="Q15" s="181">
        <f t="shared" si="7"/>
        <v>8.7999999999999972</v>
      </c>
      <c r="R15" s="144">
        <v>0.83</v>
      </c>
      <c r="S15" s="144">
        <v>0.89</v>
      </c>
      <c r="T15" s="145">
        <v>7.9000000000000001E-2</v>
      </c>
      <c r="U15" t="str">
        <f t="shared" si="1"/>
        <v>RGT</v>
      </c>
      <c r="V15">
        <f t="shared" si="2"/>
        <v>2</v>
      </c>
      <c r="W15">
        <f t="shared" si="3"/>
        <v>2</v>
      </c>
      <c r="X15" s="46">
        <f>IF('Amputation Summary'!$Q$33=2,RANK(S15,S$8:S$76,1)+COUNTIF($S$8:S15,S15)-1,IF('Amputation Summary'!$Q$33=1,RANK(R15,R$8:R$76,1)+COUNTIF($R15:R15,R15)-1))</f>
        <v>26</v>
      </c>
      <c r="Y15" s="8">
        <f>IF( 'Amputation Summary'!$Q$33=2, S15, IF('Amputation Summary'!$Q$33=1,R15))</f>
        <v>0.83</v>
      </c>
      <c r="Z15" s="11">
        <v>5</v>
      </c>
      <c r="AA15">
        <v>3</v>
      </c>
      <c r="AB15">
        <f t="shared" si="8"/>
        <v>2</v>
      </c>
      <c r="AC15">
        <v>9</v>
      </c>
      <c r="AD15">
        <f t="shared" si="9"/>
        <v>4</v>
      </c>
      <c r="AE15">
        <v>20</v>
      </c>
      <c r="AF15" s="46">
        <f t="shared" si="10"/>
        <v>20</v>
      </c>
      <c r="AG15" s="11">
        <f>IF('Amputation Summary'!$O$4=2, M15, IF('Amputation Summary'!$O$4=1,Z15))</f>
        <v>5</v>
      </c>
      <c r="AH15" s="11">
        <f>IF('Amputation Summary'!$O$4=2, P15, IF('Amputation Summary'!$O$4=1,AB15))</f>
        <v>2</v>
      </c>
      <c r="AI15" s="11">
        <f>IF('Amputation Summary'!$O$4=2, Q15, IF('Amputation Summary'!$O$4=1,AD15))</f>
        <v>4</v>
      </c>
      <c r="AJ15">
        <v>1</v>
      </c>
      <c r="AK15" s="152">
        <f t="shared" si="4"/>
        <v>0.41000000000000003</v>
      </c>
      <c r="AL15" s="152">
        <f t="shared" si="5"/>
        <v>0.25</v>
      </c>
      <c r="AM15">
        <v>11</v>
      </c>
    </row>
    <row r="16" spans="1:39" x14ac:dyDescent="0.25">
      <c r="A16" s="139" t="s">
        <v>3</v>
      </c>
      <c r="B16" s="139" t="s">
        <v>4</v>
      </c>
      <c r="C16" s="140">
        <v>90</v>
      </c>
      <c r="D16" s="140">
        <v>182</v>
      </c>
      <c r="E16" s="141" t="s">
        <v>748</v>
      </c>
      <c r="F16" s="145">
        <v>0.76595747470855713</v>
      </c>
      <c r="G16" s="141">
        <v>45</v>
      </c>
      <c r="H16" s="141">
        <v>45</v>
      </c>
      <c r="I16" s="142">
        <v>1</v>
      </c>
      <c r="J16" s="142">
        <v>0.66</v>
      </c>
      <c r="K16" s="142">
        <v>1.51</v>
      </c>
      <c r="L16" s="141" t="s">
        <v>790</v>
      </c>
      <c r="M16" s="141">
        <v>76.599999999999994</v>
      </c>
      <c r="N16" s="181">
        <v>62</v>
      </c>
      <c r="O16" s="181">
        <v>87.7</v>
      </c>
      <c r="P16" s="181">
        <f t="shared" si="6"/>
        <v>14.599999999999994</v>
      </c>
      <c r="Q16" s="181">
        <f t="shared" si="7"/>
        <v>11.100000000000009</v>
      </c>
      <c r="R16" s="144">
        <v>0.98</v>
      </c>
      <c r="S16" s="144">
        <v>1</v>
      </c>
      <c r="T16" s="145">
        <v>6.7000000000000004E-2</v>
      </c>
      <c r="U16" t="str">
        <f t="shared" si="1"/>
        <v>7A4</v>
      </c>
      <c r="V16">
        <f t="shared" si="2"/>
        <v>4</v>
      </c>
      <c r="W16">
        <f t="shared" si="3"/>
        <v>4</v>
      </c>
      <c r="X16" s="46">
        <f>IF('Amputation Summary'!$Q$33=2,RANK(S16,S$8:S$76,1)+COUNTIF($S$8:S16,S16)-1,IF('Amputation Summary'!$Q$33=1,RANK(R16,R$8:R$76,1)+COUNTIF($R16:R16,R16)-1))</f>
        <v>56</v>
      </c>
      <c r="Y16" s="8">
        <f>IF( 'Amputation Summary'!$Q$33=2, S16, IF('Amputation Summary'!$Q$33=1,R16))</f>
        <v>0.98</v>
      </c>
      <c r="Z16" s="11">
        <v>11</v>
      </c>
      <c r="AA16">
        <v>4</v>
      </c>
      <c r="AB16">
        <f t="shared" si="8"/>
        <v>7</v>
      </c>
      <c r="AC16">
        <v>28</v>
      </c>
      <c r="AD16">
        <f t="shared" si="9"/>
        <v>17</v>
      </c>
      <c r="AE16">
        <v>55</v>
      </c>
      <c r="AF16" s="46">
        <f t="shared" si="10"/>
        <v>55</v>
      </c>
      <c r="AG16" s="11">
        <f>IF('Amputation Summary'!$O$4=2, M16, IF('Amputation Summary'!$O$4=1,Z16))</f>
        <v>11</v>
      </c>
      <c r="AH16" s="11">
        <f>IF('Amputation Summary'!$O$4=2, P16, IF('Amputation Summary'!$O$4=1,AB16))</f>
        <v>7</v>
      </c>
      <c r="AI16" s="11">
        <f>IF('Amputation Summary'!$O$4=2, Q16, IF('Amputation Summary'!$O$4=1,AD16))</f>
        <v>17</v>
      </c>
      <c r="AJ16">
        <v>1</v>
      </c>
      <c r="AK16" s="152">
        <f t="shared" si="4"/>
        <v>0.51</v>
      </c>
      <c r="AL16" s="152">
        <f t="shared" si="5"/>
        <v>0.33999999999999997</v>
      </c>
      <c r="AM16">
        <v>31</v>
      </c>
    </row>
    <row r="17" spans="1:39" x14ac:dyDescent="0.25">
      <c r="A17" s="139" t="s">
        <v>56</v>
      </c>
      <c r="B17" s="139" t="s">
        <v>57</v>
      </c>
      <c r="C17" s="140">
        <v>69</v>
      </c>
      <c r="D17" s="140">
        <v>226</v>
      </c>
      <c r="E17" s="141" t="s">
        <v>541</v>
      </c>
      <c r="F17" s="145">
        <v>0.8913043737411499</v>
      </c>
      <c r="G17" s="141">
        <v>40</v>
      </c>
      <c r="H17" s="141">
        <v>29</v>
      </c>
      <c r="I17" s="142">
        <v>1.38</v>
      </c>
      <c r="J17" s="142">
        <v>0.86</v>
      </c>
      <c r="K17" s="142">
        <v>2.2200000000000002</v>
      </c>
      <c r="L17" s="141" t="s">
        <v>791</v>
      </c>
      <c r="M17" s="141">
        <v>89.1</v>
      </c>
      <c r="N17" s="181">
        <v>76.400000000000006</v>
      </c>
      <c r="O17" s="181">
        <v>96.4</v>
      </c>
      <c r="P17" s="181">
        <f t="shared" si="6"/>
        <v>12.699999999999989</v>
      </c>
      <c r="Q17" s="181">
        <f t="shared" si="7"/>
        <v>7.3000000000000114</v>
      </c>
      <c r="R17" s="144">
        <v>0.86</v>
      </c>
      <c r="S17" s="144">
        <v>0.81</v>
      </c>
      <c r="T17" s="145">
        <v>7.0000000000000007E-2</v>
      </c>
      <c r="U17" t="str">
        <f t="shared" si="1"/>
        <v>RJR</v>
      </c>
      <c r="V17">
        <f t="shared" si="2"/>
        <v>3</v>
      </c>
      <c r="W17">
        <f t="shared" si="3"/>
        <v>2</v>
      </c>
      <c r="X17" s="46">
        <f>IF('Amputation Summary'!$Q$33=2,RANK(S17,S$8:S$76,1)+COUNTIF($S$8:S17,S17)-1,IF('Amputation Summary'!$Q$33=1,RANK(R17,R$8:R$76,1)+COUNTIF($R17:R17,R17)-1))</f>
        <v>31</v>
      </c>
      <c r="Y17" s="8">
        <f>IF( 'Amputation Summary'!$Q$33=2, S17, IF('Amputation Summary'!$Q$33=1,R17))</f>
        <v>0.86</v>
      </c>
      <c r="Z17" s="11">
        <v>4</v>
      </c>
      <c r="AA17">
        <v>2</v>
      </c>
      <c r="AB17">
        <f t="shared" si="8"/>
        <v>2</v>
      </c>
      <c r="AC17">
        <v>12</v>
      </c>
      <c r="AD17">
        <f t="shared" si="9"/>
        <v>8</v>
      </c>
      <c r="AE17">
        <v>13</v>
      </c>
      <c r="AF17" s="46">
        <f t="shared" si="10"/>
        <v>13</v>
      </c>
      <c r="AG17" s="11">
        <f>IF('Amputation Summary'!$O$4=2, M17, IF('Amputation Summary'!$O$4=1,Z17))</f>
        <v>4</v>
      </c>
      <c r="AH17" s="11">
        <f>IF('Amputation Summary'!$O$4=2, P17, IF('Amputation Summary'!$O$4=1,AB17))</f>
        <v>2</v>
      </c>
      <c r="AI17" s="11">
        <f>IF('Amputation Summary'!$O$4=2, Q17, IF('Amputation Summary'!$O$4=1,AD17))</f>
        <v>8</v>
      </c>
      <c r="AJ17">
        <v>1</v>
      </c>
      <c r="AK17" s="152">
        <f t="shared" si="4"/>
        <v>0.8400000000000003</v>
      </c>
      <c r="AL17" s="152">
        <f t="shared" si="5"/>
        <v>0.51999999999999991</v>
      </c>
      <c r="AM17">
        <v>48</v>
      </c>
    </row>
    <row r="18" spans="1:39" x14ac:dyDescent="0.25">
      <c r="A18" s="139" t="s">
        <v>74</v>
      </c>
      <c r="B18" s="139" t="s">
        <v>355</v>
      </c>
      <c r="C18" s="140">
        <v>6</v>
      </c>
      <c r="D18" s="140">
        <v>45</v>
      </c>
      <c r="E18" s="141" t="s">
        <v>749</v>
      </c>
      <c r="F18" s="145">
        <v>0.60000002384185791</v>
      </c>
      <c r="G18" s="141">
        <v>4</v>
      </c>
      <c r="H18" s="141">
        <v>2</v>
      </c>
      <c r="I18" s="142">
        <v>2</v>
      </c>
      <c r="J18" s="142">
        <v>0.37</v>
      </c>
      <c r="K18" s="142">
        <v>7.5</v>
      </c>
      <c r="L18" s="141" t="s">
        <v>792</v>
      </c>
      <c r="M18" s="141">
        <v>60</v>
      </c>
      <c r="N18" s="181">
        <v>14.7</v>
      </c>
      <c r="O18" s="181">
        <v>94.7</v>
      </c>
      <c r="P18" s="181">
        <f t="shared" si="6"/>
        <v>45.3</v>
      </c>
      <c r="Q18" s="181">
        <f t="shared" si="7"/>
        <v>34.700000000000003</v>
      </c>
      <c r="R18" s="144">
        <v>1</v>
      </c>
      <c r="S18" s="144">
        <v>0.83</v>
      </c>
      <c r="T18" s="145">
        <v>0.09</v>
      </c>
      <c r="U18" t="str">
        <f t="shared" si="1"/>
        <v>RP5</v>
      </c>
      <c r="V18">
        <f t="shared" si="2"/>
        <v>4</v>
      </c>
      <c r="W18">
        <f t="shared" si="3"/>
        <v>2</v>
      </c>
      <c r="X18" s="46">
        <f>IF('Amputation Summary'!$Q$33=2,RANK(S18,S$8:S$76,1)+COUNTIF($S$8:S18,S18)-1,IF('Amputation Summary'!$Q$33=1,RANK(R18,R$8:R$76,1)+COUNTIF($R18:R18,R18)-1))</f>
        <v>57</v>
      </c>
      <c r="Y18" s="8">
        <f>IF( 'Amputation Summary'!$Q$33=2, S18, IF('Amputation Summary'!$Q$33=1,R18))</f>
        <v>1</v>
      </c>
      <c r="Z18" s="11">
        <v>7</v>
      </c>
      <c r="AA18">
        <v>5</v>
      </c>
      <c r="AB18">
        <f t="shared" si="8"/>
        <v>2</v>
      </c>
      <c r="AC18">
        <v>51</v>
      </c>
      <c r="AD18">
        <f t="shared" si="9"/>
        <v>44</v>
      </c>
      <c r="AE18">
        <v>36</v>
      </c>
      <c r="AF18" s="46">
        <f t="shared" si="10"/>
        <v>36</v>
      </c>
      <c r="AG18" s="11">
        <f>IF('Amputation Summary'!$O$4=2, M18, IF('Amputation Summary'!$O$4=1,Z18))</f>
        <v>7</v>
      </c>
      <c r="AH18" s="11">
        <f>IF('Amputation Summary'!$O$4=2, P18, IF('Amputation Summary'!$O$4=1,AB18))</f>
        <v>2</v>
      </c>
      <c r="AI18" s="11">
        <f>IF('Amputation Summary'!$O$4=2, Q18, IF('Amputation Summary'!$O$4=1,AD18))</f>
        <v>44</v>
      </c>
      <c r="AJ18">
        <v>1</v>
      </c>
      <c r="AK18" s="152">
        <f t="shared" si="4"/>
        <v>5.5</v>
      </c>
      <c r="AL18" s="152">
        <f t="shared" si="5"/>
        <v>1.63</v>
      </c>
      <c r="AM18">
        <v>60</v>
      </c>
    </row>
    <row r="19" spans="1:39" x14ac:dyDescent="0.25">
      <c r="A19" s="139" t="s">
        <v>113</v>
      </c>
      <c r="B19" s="139" t="s">
        <v>114</v>
      </c>
      <c r="C19" s="140">
        <v>10</v>
      </c>
      <c r="D19" s="140">
        <v>41</v>
      </c>
      <c r="E19" s="141" t="s">
        <v>750</v>
      </c>
      <c r="F19" s="145">
        <v>0.5</v>
      </c>
      <c r="G19" s="141">
        <v>5</v>
      </c>
      <c r="H19" s="141">
        <v>5</v>
      </c>
      <c r="I19" s="142">
        <v>1</v>
      </c>
      <c r="J19" s="142">
        <v>0.28999999999999998</v>
      </c>
      <c r="K19" s="142">
        <v>3.45</v>
      </c>
      <c r="L19" s="141" t="s">
        <v>793</v>
      </c>
      <c r="M19" s="141">
        <v>50</v>
      </c>
      <c r="N19" s="181">
        <v>6.8000000000000007</v>
      </c>
      <c r="O19" s="181">
        <v>93.2</v>
      </c>
      <c r="P19" s="181">
        <f t="shared" si="6"/>
        <v>43.2</v>
      </c>
      <c r="Q19" s="181">
        <f t="shared" si="7"/>
        <v>43.2</v>
      </c>
      <c r="R19" s="144">
        <v>0.9</v>
      </c>
      <c r="S19" s="144">
        <v>0.9</v>
      </c>
      <c r="T19" s="145">
        <v>5.8999999999999997E-2</v>
      </c>
      <c r="U19" t="str">
        <f t="shared" si="1"/>
        <v>RWH</v>
      </c>
      <c r="V19">
        <f t="shared" si="2"/>
        <v>3</v>
      </c>
      <c r="W19">
        <f t="shared" si="3"/>
        <v>2</v>
      </c>
      <c r="X19" s="46">
        <f>IF('Amputation Summary'!$Q$33=2,RANK(S19,S$8:S$76,1)+COUNTIF($S$8:S19,S19)-1,IF('Amputation Summary'!$Q$33=1,RANK(R19,R$8:R$76,1)+COUNTIF($R19:R19,R19)-1))</f>
        <v>39</v>
      </c>
      <c r="Y19" s="8">
        <f>IF( 'Amputation Summary'!$Q$33=2, S19, IF('Amputation Summary'!$Q$33=1,R19))</f>
        <v>0.9</v>
      </c>
      <c r="Z19" s="11">
        <v>45</v>
      </c>
      <c r="AA19">
        <v>17</v>
      </c>
      <c r="AB19">
        <f t="shared" si="8"/>
        <v>28</v>
      </c>
      <c r="AC19">
        <v>102</v>
      </c>
      <c r="AD19">
        <f t="shared" si="9"/>
        <v>57</v>
      </c>
      <c r="AE19">
        <v>66</v>
      </c>
      <c r="AF19" s="46">
        <f t="shared" si="10"/>
        <v>66</v>
      </c>
      <c r="AG19" s="11">
        <f>IF('Amputation Summary'!$O$4=2, M19, IF('Amputation Summary'!$O$4=1,Z19))</f>
        <v>45</v>
      </c>
      <c r="AH19" s="11">
        <f>IF('Amputation Summary'!$O$4=2, P19, IF('Amputation Summary'!$O$4=1,AB19))</f>
        <v>28</v>
      </c>
      <c r="AI19" s="11">
        <f>IF('Amputation Summary'!$O$4=2, Q19, IF('Amputation Summary'!$O$4=1,AD19))</f>
        <v>57</v>
      </c>
      <c r="AJ19">
        <v>1</v>
      </c>
      <c r="AK19" s="152">
        <f t="shared" si="4"/>
        <v>2.4500000000000002</v>
      </c>
      <c r="AL19" s="152">
        <f t="shared" si="5"/>
        <v>0.71</v>
      </c>
      <c r="AM19">
        <v>32</v>
      </c>
    </row>
    <row r="20" spans="1:39" x14ac:dyDescent="0.25">
      <c r="A20" s="139" t="s">
        <v>102</v>
      </c>
      <c r="B20" s="139" t="s">
        <v>103</v>
      </c>
      <c r="C20" s="140">
        <v>38</v>
      </c>
      <c r="D20" s="140">
        <v>95</v>
      </c>
      <c r="E20" s="141" t="s">
        <v>751</v>
      </c>
      <c r="F20" s="145">
        <v>0.92307692766189575</v>
      </c>
      <c r="G20" s="141">
        <v>19</v>
      </c>
      <c r="H20" s="141">
        <v>19</v>
      </c>
      <c r="I20" s="142">
        <v>1</v>
      </c>
      <c r="J20" s="142">
        <v>0.53</v>
      </c>
      <c r="K20" s="142">
        <v>1.89</v>
      </c>
      <c r="L20" s="141" t="s">
        <v>794</v>
      </c>
      <c r="M20" s="141">
        <v>92.3</v>
      </c>
      <c r="N20" s="181">
        <v>74.900000000000006</v>
      </c>
      <c r="O20" s="181">
        <v>99.1</v>
      </c>
      <c r="P20" s="181">
        <f t="shared" si="6"/>
        <v>17.399999999999991</v>
      </c>
      <c r="Q20" s="181">
        <f t="shared" si="7"/>
        <v>6.7999999999999972</v>
      </c>
      <c r="R20" s="144">
        <v>0.89</v>
      </c>
      <c r="S20" s="144">
        <v>0.79</v>
      </c>
      <c r="T20" s="145">
        <v>6.2E-2</v>
      </c>
      <c r="U20" t="str">
        <f t="shared" si="1"/>
        <v>RVV</v>
      </c>
      <c r="V20">
        <f t="shared" si="2"/>
        <v>3</v>
      </c>
      <c r="W20">
        <f t="shared" si="3"/>
        <v>1</v>
      </c>
      <c r="X20" s="46">
        <f>IF('Amputation Summary'!$Q$33=2,RANK(S20,S$8:S$76,1)+COUNTIF($S$8:S20,S20)-1,IF('Amputation Summary'!$Q$33=1,RANK(R20,R$8:R$76,1)+COUNTIF($R20:R20,R20)-1))</f>
        <v>38</v>
      </c>
      <c r="Y20" s="8">
        <f>IF( 'Amputation Summary'!$Q$33=2, S20, IF('Amputation Summary'!$Q$33=1,R20))</f>
        <v>0.89</v>
      </c>
      <c r="Z20" s="11">
        <v>9</v>
      </c>
      <c r="AA20">
        <v>3</v>
      </c>
      <c r="AB20">
        <f t="shared" si="8"/>
        <v>6</v>
      </c>
      <c r="AC20">
        <v>13</v>
      </c>
      <c r="AD20">
        <f t="shared" si="9"/>
        <v>4</v>
      </c>
      <c r="AE20">
        <v>45</v>
      </c>
      <c r="AF20" s="46">
        <f t="shared" si="10"/>
        <v>45</v>
      </c>
      <c r="AG20" s="11">
        <f>IF('Amputation Summary'!$O$4=2, M20, IF('Amputation Summary'!$O$4=1,Z20))</f>
        <v>9</v>
      </c>
      <c r="AH20" s="11">
        <f>IF('Amputation Summary'!$O$4=2, P20, IF('Amputation Summary'!$O$4=1,AB20))</f>
        <v>6</v>
      </c>
      <c r="AI20" s="11">
        <f>IF('Amputation Summary'!$O$4=2, Q20, IF('Amputation Summary'!$O$4=1,AD20))</f>
        <v>4</v>
      </c>
      <c r="AJ20">
        <v>1</v>
      </c>
      <c r="AK20" s="152">
        <f t="shared" si="4"/>
        <v>0.8899999999999999</v>
      </c>
      <c r="AL20" s="152">
        <f t="shared" si="5"/>
        <v>0.47</v>
      </c>
      <c r="AM20">
        <v>33</v>
      </c>
    </row>
    <row r="21" spans="1:39" x14ac:dyDescent="0.25">
      <c r="A21" s="139" t="s">
        <v>125</v>
      </c>
      <c r="B21" s="139" t="s">
        <v>126</v>
      </c>
      <c r="C21" s="140">
        <v>21</v>
      </c>
      <c r="D21" s="140">
        <v>99</v>
      </c>
      <c r="E21" s="141" t="s">
        <v>752</v>
      </c>
      <c r="F21" s="145">
        <v>0.90909093618392944</v>
      </c>
      <c r="G21" s="141">
        <v>13</v>
      </c>
      <c r="H21" s="141">
        <v>8</v>
      </c>
      <c r="I21" s="142">
        <v>1.63</v>
      </c>
      <c r="J21" s="142">
        <v>0.67</v>
      </c>
      <c r="K21" s="142">
        <v>3.92</v>
      </c>
      <c r="L21" s="141" t="s">
        <v>795</v>
      </c>
      <c r="M21" s="141">
        <v>90.9</v>
      </c>
      <c r="N21" s="181">
        <v>58.70000000000001</v>
      </c>
      <c r="O21" s="181">
        <v>99.8</v>
      </c>
      <c r="P21" s="181">
        <f t="shared" si="6"/>
        <v>32.199999999999996</v>
      </c>
      <c r="Q21" s="181">
        <f t="shared" si="7"/>
        <v>8.8999999999999915</v>
      </c>
      <c r="R21" s="144">
        <v>0.67</v>
      </c>
      <c r="S21" s="144">
        <v>0.52</v>
      </c>
      <c r="T21" s="145">
        <v>5.5E-2</v>
      </c>
      <c r="U21" t="str">
        <f t="shared" si="1"/>
        <v>RXR</v>
      </c>
      <c r="V21">
        <f t="shared" si="2"/>
        <v>2</v>
      </c>
      <c r="W21">
        <f t="shared" si="3"/>
        <v>1</v>
      </c>
      <c r="X21" s="46">
        <f>IF('Amputation Summary'!$Q$33=2,RANK(S21,S$8:S$76,1)+COUNTIF($S$8:S21,S21)-1,IF('Amputation Summary'!$Q$33=1,RANK(R21,R$8:R$76,1)+COUNTIF($R21:R21,R21)-1))</f>
        <v>21</v>
      </c>
      <c r="Y21" s="8">
        <f>IF( 'Amputation Summary'!$Q$33=2, S21, IF('Amputation Summary'!$Q$33=1,R21))</f>
        <v>0.67</v>
      </c>
      <c r="Z21" s="11">
        <v>1</v>
      </c>
      <c r="AA21">
        <v>1</v>
      </c>
      <c r="AB21">
        <f t="shared" si="8"/>
        <v>0</v>
      </c>
      <c r="AC21">
        <v>14</v>
      </c>
      <c r="AD21">
        <f t="shared" si="9"/>
        <v>13</v>
      </c>
      <c r="AE21">
        <v>1</v>
      </c>
      <c r="AF21" s="46">
        <f t="shared" si="10"/>
        <v>1</v>
      </c>
      <c r="AG21" s="11">
        <f>IF('Amputation Summary'!$O$4=2, M21, IF('Amputation Summary'!$O$4=1,Z21))</f>
        <v>1</v>
      </c>
      <c r="AH21" s="11">
        <f>IF('Amputation Summary'!$O$4=2, P21, IF('Amputation Summary'!$O$4=1,AB21))</f>
        <v>0</v>
      </c>
      <c r="AI21" s="11">
        <f>IF('Amputation Summary'!$O$4=2, Q21, IF('Amputation Summary'!$O$4=1,AD21))</f>
        <v>13</v>
      </c>
      <c r="AJ21">
        <v>1</v>
      </c>
      <c r="AK21" s="152">
        <f t="shared" si="4"/>
        <v>2.29</v>
      </c>
      <c r="AL21" s="152">
        <f t="shared" si="5"/>
        <v>0.95999999999999985</v>
      </c>
      <c r="AM21">
        <v>55</v>
      </c>
    </row>
    <row r="22" spans="1:39" x14ac:dyDescent="0.25">
      <c r="A22" s="139" t="s">
        <v>29</v>
      </c>
      <c r="B22" s="139" t="s">
        <v>170</v>
      </c>
      <c r="C22" s="140">
        <v>39</v>
      </c>
      <c r="D22" s="140">
        <v>93</v>
      </c>
      <c r="E22" s="141" t="s">
        <v>753</v>
      </c>
      <c r="F22" s="145">
        <v>0.85294115543365479</v>
      </c>
      <c r="G22" s="141">
        <v>21</v>
      </c>
      <c r="H22" s="141">
        <v>18</v>
      </c>
      <c r="I22" s="142">
        <v>1.17</v>
      </c>
      <c r="J22" s="142">
        <v>0.62</v>
      </c>
      <c r="K22" s="142">
        <v>2.19</v>
      </c>
      <c r="L22" s="141" t="s">
        <v>796</v>
      </c>
      <c r="M22" s="141">
        <v>85.3</v>
      </c>
      <c r="N22" s="181">
        <v>68.900000000000006</v>
      </c>
      <c r="O22" s="181">
        <v>95</v>
      </c>
      <c r="P22" s="181">
        <f t="shared" si="6"/>
        <v>16.399999999999991</v>
      </c>
      <c r="Q22" s="181">
        <f t="shared" si="7"/>
        <v>9.7000000000000028</v>
      </c>
      <c r="R22" s="144">
        <v>0.64</v>
      </c>
      <c r="S22" s="144">
        <v>0.77</v>
      </c>
      <c r="T22" s="145">
        <v>6.2E-2</v>
      </c>
      <c r="U22" t="str">
        <f t="shared" si="1"/>
        <v>RDE</v>
      </c>
      <c r="V22">
        <f t="shared" si="2"/>
        <v>2</v>
      </c>
      <c r="W22">
        <f t="shared" si="3"/>
        <v>1</v>
      </c>
      <c r="X22" s="46">
        <f>IF('Amputation Summary'!$Q$33=2,RANK(S22,S$8:S$76,1)+COUNTIF($S$8:S22,S22)-1,IF('Amputation Summary'!$Q$33=1,RANK(R22,R$8:R$76,1)+COUNTIF($R22:R22,R22)-1))</f>
        <v>18</v>
      </c>
      <c r="Y22" s="8">
        <f>IF( 'Amputation Summary'!$Q$33=2, S22, IF('Amputation Summary'!$Q$33=1,R22))</f>
        <v>0.64</v>
      </c>
      <c r="Z22" s="11">
        <v>7</v>
      </c>
      <c r="AA22">
        <v>2</v>
      </c>
      <c r="AB22">
        <f t="shared" si="8"/>
        <v>5</v>
      </c>
      <c r="AC22">
        <v>22</v>
      </c>
      <c r="AD22">
        <f t="shared" si="9"/>
        <v>15</v>
      </c>
      <c r="AE22">
        <v>32</v>
      </c>
      <c r="AF22" s="46">
        <f t="shared" si="10"/>
        <v>32</v>
      </c>
      <c r="AG22" s="11">
        <f>IF('Amputation Summary'!$O$4=2, M22, IF('Amputation Summary'!$O$4=1,Z22))</f>
        <v>7</v>
      </c>
      <c r="AH22" s="11">
        <f>IF('Amputation Summary'!$O$4=2, P22, IF('Amputation Summary'!$O$4=1,AB22))</f>
        <v>5</v>
      </c>
      <c r="AI22" s="11">
        <f>IF('Amputation Summary'!$O$4=2, Q22, IF('Amputation Summary'!$O$4=1,AD22))</f>
        <v>15</v>
      </c>
      <c r="AJ22">
        <v>1</v>
      </c>
      <c r="AK22" s="152">
        <f t="shared" si="4"/>
        <v>1.02</v>
      </c>
      <c r="AL22" s="152">
        <f t="shared" si="5"/>
        <v>0.54999999999999993</v>
      </c>
      <c r="AM22">
        <v>40</v>
      </c>
    </row>
    <row r="23" spans="1:39" x14ac:dyDescent="0.25">
      <c r="A23" s="139" t="s">
        <v>30</v>
      </c>
      <c r="B23" s="139" t="s">
        <v>31</v>
      </c>
      <c r="C23" s="140">
        <v>47</v>
      </c>
      <c r="D23" s="140">
        <v>150</v>
      </c>
      <c r="E23" s="141" t="s">
        <v>199</v>
      </c>
      <c r="F23" s="145">
        <v>0.92307692766189575</v>
      </c>
      <c r="G23" s="141">
        <v>25</v>
      </c>
      <c r="H23" s="141">
        <v>22</v>
      </c>
      <c r="I23" s="142">
        <v>1.1399999999999999</v>
      </c>
      <c r="J23" s="142">
        <v>0.64</v>
      </c>
      <c r="K23" s="142">
        <v>2.02</v>
      </c>
      <c r="L23" s="141" t="s">
        <v>797</v>
      </c>
      <c r="M23" s="141">
        <v>92.3</v>
      </c>
      <c r="N23" s="181">
        <v>79.099999999999994</v>
      </c>
      <c r="O23" s="181">
        <v>98.4</v>
      </c>
      <c r="P23" s="181">
        <f t="shared" si="6"/>
        <v>13.200000000000003</v>
      </c>
      <c r="Q23" s="181">
        <f t="shared" si="7"/>
        <v>6.1000000000000085</v>
      </c>
      <c r="R23" s="144">
        <v>1</v>
      </c>
      <c r="S23" s="144">
        <v>0.98</v>
      </c>
      <c r="T23" s="145">
        <v>3.9E-2</v>
      </c>
      <c r="U23" t="str">
        <f t="shared" si="1"/>
        <v>RDU</v>
      </c>
      <c r="V23">
        <f t="shared" si="2"/>
        <v>4</v>
      </c>
      <c r="W23">
        <f t="shared" si="3"/>
        <v>4</v>
      </c>
      <c r="X23" s="46">
        <f>IF('Amputation Summary'!$Q$33=2,RANK(S23,S$8:S$76,1)+COUNTIF($S$8:S23,S23)-1,IF('Amputation Summary'!$Q$33=1,RANK(R23,R$8:R$76,1)+COUNTIF($R23:R23,R23)-1))</f>
        <v>57</v>
      </c>
      <c r="Y23" s="8">
        <f>IF( 'Amputation Summary'!$Q$33=2, S23, IF('Amputation Summary'!$Q$33=1,R23))</f>
        <v>1</v>
      </c>
      <c r="Z23" s="11">
        <v>6</v>
      </c>
      <c r="AA23">
        <v>3</v>
      </c>
      <c r="AB23">
        <f t="shared" si="8"/>
        <v>3</v>
      </c>
      <c r="AC23">
        <v>14</v>
      </c>
      <c r="AD23">
        <f t="shared" si="9"/>
        <v>8</v>
      </c>
      <c r="AE23">
        <v>28</v>
      </c>
      <c r="AF23" s="46">
        <f t="shared" si="10"/>
        <v>28</v>
      </c>
      <c r="AG23" s="11">
        <f>IF('Amputation Summary'!$O$4=2, M23, IF('Amputation Summary'!$O$4=1,Z23))</f>
        <v>6</v>
      </c>
      <c r="AH23" s="11">
        <f>IF('Amputation Summary'!$O$4=2, P23, IF('Amputation Summary'!$O$4=1,AB23))</f>
        <v>3</v>
      </c>
      <c r="AI23" s="11">
        <f>IF('Amputation Summary'!$O$4=2, Q23, IF('Amputation Summary'!$O$4=1,AD23))</f>
        <v>8</v>
      </c>
      <c r="AJ23">
        <v>1</v>
      </c>
      <c r="AK23" s="152">
        <f t="shared" si="4"/>
        <v>0.88000000000000012</v>
      </c>
      <c r="AL23" s="152">
        <f t="shared" si="5"/>
        <v>0.49999999999999989</v>
      </c>
      <c r="AM23">
        <v>38</v>
      </c>
    </row>
    <row r="24" spans="1:39" x14ac:dyDescent="0.25">
      <c r="A24" s="139" t="s">
        <v>93</v>
      </c>
      <c r="B24" s="139" t="s">
        <v>94</v>
      </c>
      <c r="C24" s="140">
        <v>21</v>
      </c>
      <c r="D24" s="140">
        <v>106</v>
      </c>
      <c r="E24" s="141" t="s">
        <v>754</v>
      </c>
      <c r="F24" s="145">
        <v>0.81818181276321411</v>
      </c>
      <c r="G24" s="141">
        <v>9</v>
      </c>
      <c r="H24" s="141">
        <v>12</v>
      </c>
      <c r="I24" s="142">
        <v>0.75</v>
      </c>
      <c r="J24" s="142">
        <v>0.32</v>
      </c>
      <c r="K24" s="142">
        <v>1.78</v>
      </c>
      <c r="L24" s="141" t="s">
        <v>798</v>
      </c>
      <c r="M24" s="141">
        <v>81.8</v>
      </c>
      <c r="N24" s="181">
        <v>48.2</v>
      </c>
      <c r="O24" s="181">
        <v>97.7</v>
      </c>
      <c r="P24" s="181">
        <f t="shared" si="6"/>
        <v>33.599999999999994</v>
      </c>
      <c r="Q24" s="181">
        <f t="shared" si="7"/>
        <v>15.900000000000006</v>
      </c>
      <c r="R24" s="144">
        <v>0.76</v>
      </c>
      <c r="S24" s="144">
        <v>0.76</v>
      </c>
      <c r="T24" s="145">
        <v>5.0999999999999997E-2</v>
      </c>
      <c r="U24" t="str">
        <f t="shared" si="1"/>
        <v>RTE</v>
      </c>
      <c r="V24">
        <f t="shared" si="2"/>
        <v>2</v>
      </c>
      <c r="W24">
        <f t="shared" si="3"/>
        <v>1</v>
      </c>
      <c r="X24" s="46">
        <f>IF('Amputation Summary'!$Q$33=2,RANK(S24,S$8:S$76,1)+COUNTIF($S$8:S24,S24)-1,IF('Amputation Summary'!$Q$33=1,RANK(R24,R$8:R$76,1)+COUNTIF($R24:R24,R24)-1))</f>
        <v>23</v>
      </c>
      <c r="Y24" s="8">
        <f>IF( 'Amputation Summary'!$Q$33=2, S24, IF('Amputation Summary'!$Q$33=1,R24))</f>
        <v>0.76</v>
      </c>
      <c r="Z24" s="11">
        <v>4</v>
      </c>
      <c r="AA24">
        <v>2</v>
      </c>
      <c r="AB24">
        <f t="shared" si="8"/>
        <v>2</v>
      </c>
      <c r="AC24">
        <v>15</v>
      </c>
      <c r="AD24">
        <f t="shared" si="9"/>
        <v>11</v>
      </c>
      <c r="AE24">
        <v>14</v>
      </c>
      <c r="AF24" s="46">
        <f t="shared" si="10"/>
        <v>14</v>
      </c>
      <c r="AG24" s="11">
        <f>IF('Amputation Summary'!$O$4=2, M24, IF('Amputation Summary'!$O$4=1,Z24))</f>
        <v>4</v>
      </c>
      <c r="AH24" s="11">
        <f>IF('Amputation Summary'!$O$4=2, P24, IF('Amputation Summary'!$O$4=1,AB24))</f>
        <v>2</v>
      </c>
      <c r="AI24" s="11">
        <f>IF('Amputation Summary'!$O$4=2, Q24, IF('Amputation Summary'!$O$4=1,AD24))</f>
        <v>11</v>
      </c>
      <c r="AJ24">
        <v>1</v>
      </c>
      <c r="AK24" s="152">
        <f t="shared" si="4"/>
        <v>1.03</v>
      </c>
      <c r="AL24" s="152">
        <f t="shared" si="5"/>
        <v>0.43</v>
      </c>
      <c r="AM24">
        <v>18</v>
      </c>
    </row>
    <row r="25" spans="1:39" x14ac:dyDescent="0.25">
      <c r="A25" s="139" t="s">
        <v>50</v>
      </c>
      <c r="B25" s="139" t="s">
        <v>51</v>
      </c>
      <c r="C25" s="140">
        <v>49</v>
      </c>
      <c r="D25" s="140">
        <v>174</v>
      </c>
      <c r="E25" s="141" t="s">
        <v>755</v>
      </c>
      <c r="F25" s="145">
        <v>0.80000001192092896</v>
      </c>
      <c r="G25" s="141">
        <v>17</v>
      </c>
      <c r="H25" s="141">
        <v>32</v>
      </c>
      <c r="I25" s="142">
        <v>0.53</v>
      </c>
      <c r="J25" s="142">
        <v>0.3</v>
      </c>
      <c r="K25" s="142">
        <v>0.96</v>
      </c>
      <c r="L25" s="141" t="s">
        <v>799</v>
      </c>
      <c r="M25" s="141">
        <v>80</v>
      </c>
      <c r="N25" s="181">
        <v>56.3</v>
      </c>
      <c r="O25" s="181">
        <v>94.3</v>
      </c>
      <c r="P25" s="181">
        <f t="shared" si="6"/>
        <v>23.700000000000003</v>
      </c>
      <c r="Q25" s="181">
        <f t="shared" si="7"/>
        <v>14.299999999999997</v>
      </c>
      <c r="R25" s="144">
        <v>0.55000000000000004</v>
      </c>
      <c r="S25" s="144">
        <v>0.8</v>
      </c>
      <c r="T25" s="145">
        <v>0.11799999999999999</v>
      </c>
      <c r="U25" t="str">
        <f t="shared" si="1"/>
        <v>RJ1</v>
      </c>
      <c r="V25">
        <f t="shared" si="2"/>
        <v>1</v>
      </c>
      <c r="W25">
        <f t="shared" si="3"/>
        <v>1</v>
      </c>
      <c r="X25" s="46">
        <f>IF('Amputation Summary'!$Q$33=2,RANK(S25,S$8:S$76,1)+COUNTIF($S$8:S25,S25)-1,IF('Amputation Summary'!$Q$33=1,RANK(R25,R$8:R$76,1)+COUNTIF($R25:R25,R25)-1))</f>
        <v>11</v>
      </c>
      <c r="Y25" s="8">
        <f>IF( 'Amputation Summary'!$Q$33=2, S25, IF('Amputation Summary'!$Q$33=1,R25))</f>
        <v>0.55000000000000004</v>
      </c>
      <c r="Z25" s="11">
        <v>16</v>
      </c>
      <c r="AA25">
        <v>6</v>
      </c>
      <c r="AB25">
        <f t="shared" si="8"/>
        <v>10</v>
      </c>
      <c r="AC25">
        <v>27</v>
      </c>
      <c r="AD25">
        <f t="shared" si="9"/>
        <v>11</v>
      </c>
      <c r="AE25">
        <v>64</v>
      </c>
      <c r="AF25" s="46">
        <f t="shared" si="10"/>
        <v>64</v>
      </c>
      <c r="AG25" s="11">
        <f>IF('Amputation Summary'!$O$4=2, M25, IF('Amputation Summary'!$O$4=1,Z25))</f>
        <v>16</v>
      </c>
      <c r="AH25" s="11">
        <f>IF('Amputation Summary'!$O$4=2, P25, IF('Amputation Summary'!$O$4=1,AB25))</f>
        <v>10</v>
      </c>
      <c r="AI25" s="11">
        <f>IF('Amputation Summary'!$O$4=2, Q25, IF('Amputation Summary'!$O$4=1,AD25))</f>
        <v>11</v>
      </c>
      <c r="AJ25">
        <v>1</v>
      </c>
      <c r="AK25" s="152">
        <f t="shared" si="4"/>
        <v>0.42999999999999994</v>
      </c>
      <c r="AL25" s="152">
        <f t="shared" si="5"/>
        <v>0.23000000000000004</v>
      </c>
      <c r="AM25">
        <v>8</v>
      </c>
    </row>
    <row r="26" spans="1:39" x14ac:dyDescent="0.25">
      <c r="A26" s="139" t="s">
        <v>106</v>
      </c>
      <c r="B26" s="139" t="s">
        <v>356</v>
      </c>
      <c r="C26" s="140">
        <v>80</v>
      </c>
      <c r="D26" s="140">
        <v>231</v>
      </c>
      <c r="E26" s="141" t="s">
        <v>756</v>
      </c>
      <c r="F26" s="145">
        <v>0.59183675050735474</v>
      </c>
      <c r="G26" s="141">
        <v>24</v>
      </c>
      <c r="H26" s="141">
        <v>56</v>
      </c>
      <c r="I26" s="142">
        <v>0.43</v>
      </c>
      <c r="J26" s="142">
        <v>0.27</v>
      </c>
      <c r="K26" s="142">
        <v>0.69</v>
      </c>
      <c r="L26" s="141" t="s">
        <v>800</v>
      </c>
      <c r="M26" s="141">
        <v>59.2</v>
      </c>
      <c r="N26" s="181">
        <v>44.2</v>
      </c>
      <c r="O26" s="181">
        <v>73</v>
      </c>
      <c r="P26" s="181">
        <f t="shared" si="6"/>
        <v>15</v>
      </c>
      <c r="Q26" s="181">
        <f t="shared" si="7"/>
        <v>13.799999999999997</v>
      </c>
      <c r="R26" s="144">
        <v>0.9</v>
      </c>
      <c r="S26" s="144">
        <v>1</v>
      </c>
      <c r="T26" s="145">
        <v>9.2999999999999999E-2</v>
      </c>
      <c r="U26" t="str">
        <f t="shared" si="1"/>
        <v>RWA</v>
      </c>
      <c r="V26">
        <f t="shared" si="2"/>
        <v>3</v>
      </c>
      <c r="W26">
        <f t="shared" si="3"/>
        <v>4</v>
      </c>
      <c r="X26" s="46">
        <f>IF('Amputation Summary'!$Q$33=2,RANK(S26,S$8:S$76,1)+COUNTIF($S$8:S26,S26)-1,IF('Amputation Summary'!$Q$33=1,RANK(R26,R$8:R$76,1)+COUNTIF($R26:R26,R26)-1))</f>
        <v>39</v>
      </c>
      <c r="Y26" s="8">
        <f>IF( 'Amputation Summary'!$Q$33=2, S26, IF('Amputation Summary'!$Q$33=1,R26))</f>
        <v>0.9</v>
      </c>
      <c r="Z26" s="11">
        <v>13</v>
      </c>
      <c r="AA26">
        <v>5</v>
      </c>
      <c r="AB26">
        <f t="shared" si="8"/>
        <v>8</v>
      </c>
      <c r="AC26">
        <v>48</v>
      </c>
      <c r="AD26">
        <f t="shared" si="9"/>
        <v>35</v>
      </c>
      <c r="AE26">
        <v>60</v>
      </c>
      <c r="AF26" s="46">
        <f t="shared" si="10"/>
        <v>60</v>
      </c>
      <c r="AG26" s="11">
        <f>IF('Amputation Summary'!$O$4=2, M26, IF('Amputation Summary'!$O$4=1,Z26))</f>
        <v>13</v>
      </c>
      <c r="AH26" s="11">
        <f>IF('Amputation Summary'!$O$4=2, P26, IF('Amputation Summary'!$O$4=1,AB26))</f>
        <v>8</v>
      </c>
      <c r="AI26" s="11">
        <f>IF('Amputation Summary'!$O$4=2, Q26, IF('Amputation Summary'!$O$4=1,AD26))</f>
        <v>35</v>
      </c>
      <c r="AJ26">
        <v>1</v>
      </c>
      <c r="AK26" s="152">
        <f t="shared" si="4"/>
        <v>0.25999999999999995</v>
      </c>
      <c r="AL26" s="152">
        <f t="shared" si="5"/>
        <v>0.15999999999999998</v>
      </c>
      <c r="AM26">
        <v>4</v>
      </c>
    </row>
    <row r="27" spans="1:39" x14ac:dyDescent="0.25">
      <c r="A27" s="139" t="s">
        <v>129</v>
      </c>
      <c r="B27" s="139" t="s">
        <v>130</v>
      </c>
      <c r="C27" s="140">
        <v>41</v>
      </c>
      <c r="D27" s="140">
        <v>123</v>
      </c>
      <c r="E27" s="141" t="s">
        <v>757</v>
      </c>
      <c r="F27" s="145">
        <v>0.82758623361587524</v>
      </c>
      <c r="G27" s="141">
        <v>26</v>
      </c>
      <c r="H27" s="141">
        <v>15</v>
      </c>
      <c r="I27" s="142">
        <v>1.73</v>
      </c>
      <c r="J27" s="142">
        <v>0.92</v>
      </c>
      <c r="K27" s="142">
        <v>3.27</v>
      </c>
      <c r="L27" s="141" t="s">
        <v>801</v>
      </c>
      <c r="M27" s="141">
        <v>82.8</v>
      </c>
      <c r="N27" s="181">
        <v>64.2</v>
      </c>
      <c r="O27" s="181">
        <v>94.2</v>
      </c>
      <c r="P27" s="181">
        <f t="shared" si="6"/>
        <v>18.599999999999994</v>
      </c>
      <c r="Q27" s="181">
        <f t="shared" si="7"/>
        <v>11.400000000000006</v>
      </c>
      <c r="R27" s="144">
        <v>0.44</v>
      </c>
      <c r="S27" s="144">
        <v>1</v>
      </c>
      <c r="T27" s="145">
        <v>0.128</v>
      </c>
      <c r="U27" t="str">
        <f t="shared" si="1"/>
        <v>RYJ</v>
      </c>
      <c r="V27">
        <f t="shared" si="2"/>
        <v>1</v>
      </c>
      <c r="W27">
        <f t="shared" si="3"/>
        <v>4</v>
      </c>
      <c r="X27" s="46">
        <f>IF('Amputation Summary'!$Q$33=2,RANK(S27,S$8:S$76,1)+COUNTIF($S$8:S27,S27)-1,IF('Amputation Summary'!$Q$33=1,RANK(R27,R$8:R$76,1)+COUNTIF($R27:R27,R27)-1))</f>
        <v>8</v>
      </c>
      <c r="Y27" s="8">
        <f>IF( 'Amputation Summary'!$Q$33=2, S27, IF('Amputation Summary'!$Q$33=1,R27))</f>
        <v>0.44</v>
      </c>
      <c r="Z27" s="11">
        <v>9</v>
      </c>
      <c r="AA27">
        <v>3</v>
      </c>
      <c r="AB27">
        <f t="shared" si="8"/>
        <v>6</v>
      </c>
      <c r="AC27">
        <v>25</v>
      </c>
      <c r="AD27">
        <f t="shared" si="9"/>
        <v>16</v>
      </c>
      <c r="AE27">
        <v>47</v>
      </c>
      <c r="AF27" s="46">
        <f t="shared" si="10"/>
        <v>47</v>
      </c>
      <c r="AG27" s="11">
        <f>IF('Amputation Summary'!$O$4=2, M27, IF('Amputation Summary'!$O$4=1,Z27))</f>
        <v>9</v>
      </c>
      <c r="AH27" s="11">
        <f>IF('Amputation Summary'!$O$4=2, P27, IF('Amputation Summary'!$O$4=1,AB27))</f>
        <v>6</v>
      </c>
      <c r="AI27" s="11">
        <f>IF('Amputation Summary'!$O$4=2, Q27, IF('Amputation Summary'!$O$4=1,AD27))</f>
        <v>16</v>
      </c>
      <c r="AJ27">
        <v>1</v>
      </c>
      <c r="AK27" s="152">
        <f t="shared" si="4"/>
        <v>1.54</v>
      </c>
      <c r="AL27" s="152">
        <f t="shared" si="5"/>
        <v>0.80999999999999994</v>
      </c>
      <c r="AM27">
        <v>57</v>
      </c>
    </row>
    <row r="28" spans="1:39" x14ac:dyDescent="0.25">
      <c r="A28" s="139" t="s">
        <v>58</v>
      </c>
      <c r="B28" s="139" t="s">
        <v>59</v>
      </c>
      <c r="C28" s="140">
        <v>13</v>
      </c>
      <c r="D28" s="140">
        <v>29</v>
      </c>
      <c r="E28" s="141" t="s">
        <v>758</v>
      </c>
      <c r="F28" s="145">
        <v>1</v>
      </c>
      <c r="G28" s="141">
        <v>8</v>
      </c>
      <c r="H28" s="141">
        <v>5</v>
      </c>
      <c r="I28" s="142">
        <v>1.6</v>
      </c>
      <c r="J28" s="142">
        <v>0.52</v>
      </c>
      <c r="K28" s="142">
        <v>4.8899999999999997</v>
      </c>
      <c r="L28" s="141" t="s">
        <v>802</v>
      </c>
      <c r="M28" s="141">
        <v>100</v>
      </c>
      <c r="N28" s="181">
        <v>47.8</v>
      </c>
      <c r="O28" s="181">
        <v>100</v>
      </c>
      <c r="P28" s="181">
        <f t="shared" si="6"/>
        <v>52.2</v>
      </c>
      <c r="Q28" s="181">
        <f t="shared" si="7"/>
        <v>0</v>
      </c>
      <c r="R28" s="144">
        <v>1</v>
      </c>
      <c r="S28" s="144">
        <v>1</v>
      </c>
      <c r="T28" s="145">
        <v>9.0999999999999998E-2</v>
      </c>
      <c r="U28" t="str">
        <f t="shared" si="1"/>
        <v>RJZ</v>
      </c>
      <c r="V28">
        <f t="shared" si="2"/>
        <v>4</v>
      </c>
      <c r="W28">
        <f t="shared" si="3"/>
        <v>4</v>
      </c>
      <c r="X28" s="46">
        <f>IF('Amputation Summary'!$Q$33=2,RANK(S28,S$8:S$76,1)+COUNTIF($S$8:S28,S28)-1,IF('Amputation Summary'!$Q$33=1,RANK(R28,R$8:R$76,1)+COUNTIF($R28:R28,R28)-1))</f>
        <v>57</v>
      </c>
      <c r="Y28" s="8">
        <f>IF( 'Amputation Summary'!$Q$33=2, S28, IF('Amputation Summary'!$Q$33=1,R28))</f>
        <v>1</v>
      </c>
      <c r="Z28" s="11">
        <v>6</v>
      </c>
      <c r="AA28">
        <v>4</v>
      </c>
      <c r="AB28">
        <f t="shared" si="8"/>
        <v>2</v>
      </c>
      <c r="AC28">
        <v>16</v>
      </c>
      <c r="AD28">
        <f t="shared" si="9"/>
        <v>10</v>
      </c>
      <c r="AE28">
        <v>30</v>
      </c>
      <c r="AF28" s="46">
        <f t="shared" si="10"/>
        <v>30</v>
      </c>
      <c r="AG28" s="11">
        <f>IF('Amputation Summary'!$O$4=2, M28, IF('Amputation Summary'!$O$4=1,Z28))</f>
        <v>6</v>
      </c>
      <c r="AH28" s="11">
        <f>IF('Amputation Summary'!$O$4=2, P28, IF('Amputation Summary'!$O$4=1,AB28))</f>
        <v>2</v>
      </c>
      <c r="AI28" s="11">
        <f>IF('Amputation Summary'!$O$4=2, Q28, IF('Amputation Summary'!$O$4=1,AD28))</f>
        <v>10</v>
      </c>
      <c r="AJ28">
        <v>1</v>
      </c>
      <c r="AK28" s="152">
        <f t="shared" si="4"/>
        <v>3.2899999999999996</v>
      </c>
      <c r="AL28" s="152">
        <f t="shared" si="5"/>
        <v>1.08</v>
      </c>
      <c r="AM28">
        <v>54</v>
      </c>
    </row>
    <row r="29" spans="1:39" x14ac:dyDescent="0.25">
      <c r="A29" s="139" t="s">
        <v>123</v>
      </c>
      <c r="B29" s="139" t="s">
        <v>124</v>
      </c>
      <c r="C29" s="140">
        <v>41</v>
      </c>
      <c r="D29" s="140">
        <v>233</v>
      </c>
      <c r="E29" s="141" t="s">
        <v>246</v>
      </c>
      <c r="F29" s="145">
        <v>1</v>
      </c>
      <c r="G29" s="141">
        <v>26</v>
      </c>
      <c r="H29" s="141">
        <v>15</v>
      </c>
      <c r="I29" s="142">
        <v>1.73</v>
      </c>
      <c r="J29" s="142">
        <v>0.92</v>
      </c>
      <c r="K29" s="142">
        <v>3.27</v>
      </c>
      <c r="L29" s="141" t="s">
        <v>803</v>
      </c>
      <c r="M29" s="141">
        <v>100</v>
      </c>
      <c r="N29" s="181">
        <v>83.2</v>
      </c>
      <c r="O29" s="181">
        <v>100</v>
      </c>
      <c r="P29" s="181">
        <f t="shared" si="6"/>
        <v>16.799999999999997</v>
      </c>
      <c r="Q29" s="181">
        <f t="shared" si="7"/>
        <v>0</v>
      </c>
      <c r="R29" s="144">
        <v>0.83</v>
      </c>
      <c r="S29" s="144">
        <v>1</v>
      </c>
      <c r="T29" s="145">
        <v>6.7000000000000004E-2</v>
      </c>
      <c r="U29" t="str">
        <f t="shared" si="1"/>
        <v>RXN</v>
      </c>
      <c r="V29">
        <f t="shared" si="2"/>
        <v>2</v>
      </c>
      <c r="W29">
        <f t="shared" si="3"/>
        <v>4</v>
      </c>
      <c r="X29" s="46">
        <f>IF('Amputation Summary'!$Q$33=2,RANK(S29,S$8:S$76,1)+COUNTIF($S$8:S29,S29)-1,IF('Amputation Summary'!$Q$33=1,RANK(R29,R$8:R$76,1)+COUNTIF($R29:R29,R29)-1))</f>
        <v>26</v>
      </c>
      <c r="Y29" s="8">
        <f>IF( 'Amputation Summary'!$Q$33=2, S29, IF('Amputation Summary'!$Q$33=1,R29))</f>
        <v>0.83</v>
      </c>
      <c r="Z29" s="11">
        <v>6</v>
      </c>
      <c r="AA29">
        <v>3</v>
      </c>
      <c r="AB29">
        <f t="shared" si="8"/>
        <v>3</v>
      </c>
      <c r="AC29">
        <v>10</v>
      </c>
      <c r="AD29">
        <f t="shared" si="9"/>
        <v>4</v>
      </c>
      <c r="AE29">
        <v>26</v>
      </c>
      <c r="AF29" s="46">
        <f t="shared" si="10"/>
        <v>26</v>
      </c>
      <c r="AG29" s="11">
        <f>IF('Amputation Summary'!$O$4=2, M29, IF('Amputation Summary'!$O$4=1,Z29))</f>
        <v>6</v>
      </c>
      <c r="AH29" s="11">
        <f>IF('Amputation Summary'!$O$4=2, P29, IF('Amputation Summary'!$O$4=1,AB29))</f>
        <v>3</v>
      </c>
      <c r="AI29" s="11">
        <f>IF('Amputation Summary'!$O$4=2, Q29, IF('Amputation Summary'!$O$4=1,AD29))</f>
        <v>4</v>
      </c>
      <c r="AJ29">
        <v>1</v>
      </c>
      <c r="AK29" s="152">
        <f t="shared" si="4"/>
        <v>1.54</v>
      </c>
      <c r="AL29" s="152">
        <f t="shared" si="5"/>
        <v>0.80999999999999994</v>
      </c>
      <c r="AM29">
        <v>58</v>
      </c>
    </row>
    <row r="30" spans="1:39" x14ac:dyDescent="0.25">
      <c r="A30" s="139" t="s">
        <v>83</v>
      </c>
      <c r="B30" s="139" t="s">
        <v>84</v>
      </c>
      <c r="C30" s="140">
        <v>68</v>
      </c>
      <c r="D30" s="140">
        <v>216</v>
      </c>
      <c r="E30" s="141" t="s">
        <v>721</v>
      </c>
      <c r="F30" s="145">
        <v>0.89361703395843506</v>
      </c>
      <c r="G30" s="141">
        <v>32</v>
      </c>
      <c r="H30" s="141">
        <v>36</v>
      </c>
      <c r="I30" s="142">
        <v>0.89</v>
      </c>
      <c r="J30" s="142">
        <v>0.55000000000000004</v>
      </c>
      <c r="K30" s="142">
        <v>1.43</v>
      </c>
      <c r="L30" s="141" t="s">
        <v>804</v>
      </c>
      <c r="M30" s="141">
        <v>89.4</v>
      </c>
      <c r="N30" s="181">
        <v>76.900000000000006</v>
      </c>
      <c r="O30" s="181">
        <v>96.5</v>
      </c>
      <c r="P30" s="181">
        <f t="shared" si="6"/>
        <v>12.5</v>
      </c>
      <c r="Q30" s="181">
        <f t="shared" si="7"/>
        <v>7.0999999999999943</v>
      </c>
      <c r="R30" s="144">
        <v>0.9</v>
      </c>
      <c r="S30" s="144">
        <v>0.84</v>
      </c>
      <c r="T30" s="145">
        <v>8.4000000000000005E-2</v>
      </c>
      <c r="U30" t="str">
        <f t="shared" si="1"/>
        <v>RR8</v>
      </c>
      <c r="V30">
        <f t="shared" si="2"/>
        <v>3</v>
      </c>
      <c r="W30">
        <f t="shared" si="3"/>
        <v>2</v>
      </c>
      <c r="X30" s="46">
        <f>IF('Amputation Summary'!$Q$33=2,RANK(S30,S$8:S$76,1)+COUNTIF($S$8:S30,S30)-1,IF('Amputation Summary'!$Q$33=1,RANK(R30,R$8:R$76,1)+COUNTIF($R30:R30,R30)-1))</f>
        <v>39</v>
      </c>
      <c r="Y30" s="8">
        <f>IF( 'Amputation Summary'!$Q$33=2, S30, IF('Amputation Summary'!$Q$33=1,R30))</f>
        <v>0.9</v>
      </c>
      <c r="Z30" s="11">
        <v>7</v>
      </c>
      <c r="AA30">
        <v>4</v>
      </c>
      <c r="AB30">
        <f t="shared" si="8"/>
        <v>3</v>
      </c>
      <c r="AC30">
        <v>14</v>
      </c>
      <c r="AD30">
        <f t="shared" si="9"/>
        <v>7</v>
      </c>
      <c r="AE30">
        <v>35</v>
      </c>
      <c r="AF30" s="46">
        <f t="shared" si="10"/>
        <v>35</v>
      </c>
      <c r="AG30" s="11">
        <f>IF('Amputation Summary'!$O$4=2, M30, IF('Amputation Summary'!$O$4=1,Z30))</f>
        <v>7</v>
      </c>
      <c r="AH30" s="11">
        <f>IF('Amputation Summary'!$O$4=2, P30, IF('Amputation Summary'!$O$4=1,AB30))</f>
        <v>3</v>
      </c>
      <c r="AI30" s="11">
        <f>IF('Amputation Summary'!$O$4=2, Q30, IF('Amputation Summary'!$O$4=1,AD30))</f>
        <v>7</v>
      </c>
      <c r="AJ30">
        <v>1</v>
      </c>
      <c r="AK30" s="152">
        <f t="shared" si="4"/>
        <v>0.53999999999999992</v>
      </c>
      <c r="AL30" s="152">
        <f t="shared" si="5"/>
        <v>0.33999999999999997</v>
      </c>
      <c r="AM30">
        <v>26</v>
      </c>
    </row>
    <row r="31" spans="1:39" x14ac:dyDescent="0.25">
      <c r="A31" s="139" t="s">
        <v>34</v>
      </c>
      <c r="B31" s="139" t="s">
        <v>357</v>
      </c>
      <c r="C31" s="140">
        <v>63</v>
      </c>
      <c r="D31" s="140">
        <v>206</v>
      </c>
      <c r="E31" s="141" t="s">
        <v>199</v>
      </c>
      <c r="F31" s="145">
        <v>0.81081080436706543</v>
      </c>
      <c r="G31" s="141">
        <v>35</v>
      </c>
      <c r="H31" s="141">
        <v>28</v>
      </c>
      <c r="I31" s="142">
        <v>1.25</v>
      </c>
      <c r="J31" s="142">
        <v>0.76</v>
      </c>
      <c r="K31" s="142">
        <v>2.0499999999999998</v>
      </c>
      <c r="L31" s="141" t="s">
        <v>805</v>
      </c>
      <c r="M31" s="141">
        <v>81.099999999999994</v>
      </c>
      <c r="N31" s="181">
        <v>64.8</v>
      </c>
      <c r="O31" s="181">
        <v>92</v>
      </c>
      <c r="P31" s="181">
        <f t="shared" si="6"/>
        <v>16.299999999999997</v>
      </c>
      <c r="Q31" s="181">
        <f t="shared" si="7"/>
        <v>10.900000000000006</v>
      </c>
      <c r="R31" s="144">
        <v>0.56000000000000005</v>
      </c>
      <c r="S31" s="144">
        <v>0.51</v>
      </c>
      <c r="T31" s="145">
        <v>7.8E-2</v>
      </c>
      <c r="U31" t="str">
        <f t="shared" si="1"/>
        <v>REM</v>
      </c>
      <c r="V31">
        <f t="shared" si="2"/>
        <v>1</v>
      </c>
      <c r="W31">
        <f t="shared" si="3"/>
        <v>1</v>
      </c>
      <c r="X31" s="46">
        <f>IF('Amputation Summary'!$Q$33=2,RANK(S31,S$8:S$76,1)+COUNTIF($S$8:S31,S31)-1,IF('Amputation Summary'!$Q$33=1,RANK(R31,R$8:R$76,1)+COUNTIF($R31:R31,R31)-1))</f>
        <v>14</v>
      </c>
      <c r="Y31" s="8">
        <f>IF( 'Amputation Summary'!$Q$33=2, S31, IF('Amputation Summary'!$Q$33=1,R31))</f>
        <v>0.56000000000000005</v>
      </c>
      <c r="Z31" s="11">
        <v>6</v>
      </c>
      <c r="AA31">
        <v>3</v>
      </c>
      <c r="AB31">
        <f t="shared" si="8"/>
        <v>3</v>
      </c>
      <c r="AC31">
        <v>14</v>
      </c>
      <c r="AD31">
        <f t="shared" si="9"/>
        <v>8</v>
      </c>
      <c r="AE31">
        <v>29</v>
      </c>
      <c r="AF31" s="46">
        <f t="shared" si="10"/>
        <v>29</v>
      </c>
      <c r="AG31" s="11">
        <f>IF('Amputation Summary'!$O$4=2, M31, IF('Amputation Summary'!$O$4=1,Z31))</f>
        <v>6</v>
      </c>
      <c r="AH31" s="11">
        <f>IF('Amputation Summary'!$O$4=2, P31, IF('Amputation Summary'!$O$4=1,AB31))</f>
        <v>3</v>
      </c>
      <c r="AI31" s="11">
        <f>IF('Amputation Summary'!$O$4=2, Q31, IF('Amputation Summary'!$O$4=1,AD31))</f>
        <v>8</v>
      </c>
      <c r="AJ31">
        <v>1</v>
      </c>
      <c r="AK31" s="152">
        <f t="shared" si="4"/>
        <v>0.79999999999999982</v>
      </c>
      <c r="AL31" s="152">
        <f t="shared" si="5"/>
        <v>0.49</v>
      </c>
      <c r="AM31">
        <v>43</v>
      </c>
    </row>
    <row r="32" spans="1:39" x14ac:dyDescent="0.25">
      <c r="A32" s="139" t="s">
        <v>12</v>
      </c>
      <c r="B32" s="139" t="s">
        <v>358</v>
      </c>
      <c r="C32" s="140">
        <v>30</v>
      </c>
      <c r="D32" s="140">
        <v>73</v>
      </c>
      <c r="E32" s="141" t="s">
        <v>759</v>
      </c>
      <c r="F32" s="145">
        <v>0.77272725105285645</v>
      </c>
      <c r="G32" s="141">
        <v>16</v>
      </c>
      <c r="H32" s="141">
        <v>14</v>
      </c>
      <c r="I32" s="142">
        <v>1.1399999999999999</v>
      </c>
      <c r="J32" s="142">
        <v>0.56000000000000005</v>
      </c>
      <c r="K32" s="142">
        <v>2.34</v>
      </c>
      <c r="L32" s="141" t="s">
        <v>806</v>
      </c>
      <c r="M32" s="141">
        <v>77.3</v>
      </c>
      <c r="N32" s="181">
        <v>54.6</v>
      </c>
      <c r="O32" s="181">
        <v>92.2</v>
      </c>
      <c r="P32" s="181">
        <f t="shared" si="6"/>
        <v>22.699999999999996</v>
      </c>
      <c r="Q32" s="181">
        <f t="shared" si="7"/>
        <v>14.900000000000006</v>
      </c>
      <c r="R32" s="144">
        <v>0.9</v>
      </c>
      <c r="S32" s="144">
        <v>0.93</v>
      </c>
      <c r="T32" s="145">
        <v>6.6000000000000003E-2</v>
      </c>
      <c r="U32" t="str">
        <f t="shared" si="1"/>
        <v>R1K</v>
      </c>
      <c r="V32">
        <f t="shared" si="2"/>
        <v>3</v>
      </c>
      <c r="W32">
        <f t="shared" si="3"/>
        <v>3</v>
      </c>
      <c r="X32" s="46">
        <f>IF('Amputation Summary'!$Q$33=2,RANK(S32,S$8:S$76,1)+COUNTIF($S$8:S32,S32)-1,IF('Amputation Summary'!$Q$33=1,RANK(R32,R$8:R$76,1)+COUNTIF($R32:R32,R32)-1))</f>
        <v>39</v>
      </c>
      <c r="Y32" s="8">
        <f>IF( 'Amputation Summary'!$Q$33=2, S32, IF('Amputation Summary'!$Q$33=1,R32))</f>
        <v>0.9</v>
      </c>
      <c r="Z32" s="11">
        <v>9</v>
      </c>
      <c r="AA32">
        <v>3</v>
      </c>
      <c r="AB32">
        <f t="shared" si="8"/>
        <v>6</v>
      </c>
      <c r="AC32">
        <v>27</v>
      </c>
      <c r="AD32">
        <f t="shared" si="9"/>
        <v>18</v>
      </c>
      <c r="AE32">
        <v>48</v>
      </c>
      <c r="AF32" s="46">
        <f t="shared" si="10"/>
        <v>48</v>
      </c>
      <c r="AG32" s="11">
        <f>IF('Amputation Summary'!$O$4=2, M32, IF('Amputation Summary'!$O$4=1,Z32))</f>
        <v>9</v>
      </c>
      <c r="AH32" s="11">
        <f>IF('Amputation Summary'!$O$4=2, P32, IF('Amputation Summary'!$O$4=1,AB32))</f>
        <v>6</v>
      </c>
      <c r="AI32" s="11">
        <f>IF('Amputation Summary'!$O$4=2, Q32, IF('Amputation Summary'!$O$4=1,AD32))</f>
        <v>18</v>
      </c>
      <c r="AJ32">
        <v>1</v>
      </c>
      <c r="AK32" s="152">
        <f t="shared" si="4"/>
        <v>1.2</v>
      </c>
      <c r="AL32" s="152">
        <f t="shared" si="5"/>
        <v>0.57999999999999985</v>
      </c>
      <c r="AM32">
        <v>39</v>
      </c>
    </row>
    <row r="33" spans="1:39" x14ac:dyDescent="0.25">
      <c r="A33" s="139" t="s">
        <v>8</v>
      </c>
      <c r="B33" s="139" t="s">
        <v>9</v>
      </c>
      <c r="C33" s="140">
        <v>33</v>
      </c>
      <c r="D33" s="140">
        <v>107</v>
      </c>
      <c r="E33" s="141" t="s">
        <v>648</v>
      </c>
      <c r="F33" s="145">
        <v>0.9523809552192688</v>
      </c>
      <c r="G33" s="141">
        <v>24</v>
      </c>
      <c r="H33" s="141">
        <v>9</v>
      </c>
      <c r="I33" s="142">
        <v>2.67</v>
      </c>
      <c r="J33" s="142">
        <v>1.24</v>
      </c>
      <c r="K33" s="142">
        <v>5.74</v>
      </c>
      <c r="L33" s="141" t="s">
        <v>807</v>
      </c>
      <c r="M33" s="141">
        <v>95.2</v>
      </c>
      <c r="N33" s="181">
        <v>76.2</v>
      </c>
      <c r="O33" s="181">
        <v>99.9</v>
      </c>
      <c r="P33" s="181">
        <f t="shared" si="6"/>
        <v>19</v>
      </c>
      <c r="Q33" s="181">
        <f t="shared" si="7"/>
        <v>4.7000000000000028</v>
      </c>
      <c r="R33" s="144">
        <v>0.33</v>
      </c>
      <c r="S33" s="144">
        <v>0.82</v>
      </c>
      <c r="T33" s="145">
        <v>0.08</v>
      </c>
      <c r="U33" t="str">
        <f t="shared" si="1"/>
        <v>R0A</v>
      </c>
      <c r="V33">
        <f t="shared" si="2"/>
        <v>1</v>
      </c>
      <c r="W33">
        <f t="shared" si="3"/>
        <v>2</v>
      </c>
      <c r="X33" s="46">
        <f>IF('Amputation Summary'!$Q$33=2,RANK(S33,S$8:S$76,1)+COUNTIF($S$8:S33,S33)-1,IF('Amputation Summary'!$Q$33=1,RANK(R33,R$8:R$76,1)+COUNTIF($R33:R33,R33)-1))</f>
        <v>4</v>
      </c>
      <c r="Y33" s="8">
        <f>IF( 'Amputation Summary'!$Q$33=2, S33, IF('Amputation Summary'!$Q$33=1,R33))</f>
        <v>0.33</v>
      </c>
      <c r="Z33" s="11">
        <v>5</v>
      </c>
      <c r="AA33">
        <v>3</v>
      </c>
      <c r="AB33">
        <f t="shared" si="8"/>
        <v>2</v>
      </c>
      <c r="AC33">
        <v>11</v>
      </c>
      <c r="AD33">
        <f t="shared" si="9"/>
        <v>6</v>
      </c>
      <c r="AE33">
        <v>21</v>
      </c>
      <c r="AF33" s="46">
        <f t="shared" si="10"/>
        <v>21</v>
      </c>
      <c r="AG33" s="11">
        <f>IF('Amputation Summary'!$O$4=2, M33, IF('Amputation Summary'!$O$4=1,Z33))</f>
        <v>5</v>
      </c>
      <c r="AH33" s="11">
        <f>IF('Amputation Summary'!$O$4=2, P33, IF('Amputation Summary'!$O$4=1,AB33))</f>
        <v>2</v>
      </c>
      <c r="AI33" s="11">
        <f>IF('Amputation Summary'!$O$4=2, Q33, IF('Amputation Summary'!$O$4=1,AD33))</f>
        <v>6</v>
      </c>
      <c r="AJ33">
        <v>1</v>
      </c>
      <c r="AK33" s="152">
        <f t="shared" si="4"/>
        <v>3.0700000000000003</v>
      </c>
      <c r="AL33" s="152">
        <f t="shared" si="5"/>
        <v>1.43</v>
      </c>
      <c r="AM33">
        <v>64</v>
      </c>
    </row>
    <row r="34" spans="1:39" x14ac:dyDescent="0.25">
      <c r="A34" s="139" t="s">
        <v>75</v>
      </c>
      <c r="B34" s="139" t="s">
        <v>76</v>
      </c>
      <c r="C34" s="140">
        <v>8</v>
      </c>
      <c r="D34" s="140">
        <v>22</v>
      </c>
      <c r="E34" s="141" t="s">
        <v>760</v>
      </c>
      <c r="F34" s="145">
        <v>1</v>
      </c>
      <c r="G34" s="141">
        <v>5</v>
      </c>
      <c r="H34" s="141">
        <v>3</v>
      </c>
      <c r="I34" s="142">
        <v>1.67</v>
      </c>
      <c r="J34" s="142">
        <v>0.4</v>
      </c>
      <c r="K34" s="142">
        <v>6.97</v>
      </c>
      <c r="L34" s="141" t="s">
        <v>808</v>
      </c>
      <c r="M34" s="141">
        <v>100</v>
      </c>
      <c r="N34" s="181">
        <v>47.8</v>
      </c>
      <c r="O34" s="181">
        <v>100</v>
      </c>
      <c r="P34" s="181">
        <f t="shared" si="6"/>
        <v>52.2</v>
      </c>
      <c r="Q34" s="181">
        <f t="shared" si="7"/>
        <v>0</v>
      </c>
      <c r="R34" s="144">
        <v>1</v>
      </c>
      <c r="S34" s="144">
        <v>1</v>
      </c>
      <c r="T34" s="145">
        <v>5.7000000000000002E-2</v>
      </c>
      <c r="U34" t="str">
        <f t="shared" si="1"/>
        <v>RPA</v>
      </c>
      <c r="V34">
        <f t="shared" si="2"/>
        <v>4</v>
      </c>
      <c r="W34">
        <f t="shared" si="3"/>
        <v>4</v>
      </c>
      <c r="X34" s="46">
        <f>IF('Amputation Summary'!$Q$33=2,RANK(S34,S$8:S$76,1)+COUNTIF($S$8:S34,S34)-1,IF('Amputation Summary'!$Q$33=1,RANK(R34,R$8:R$76,1)+COUNTIF($R34:R34,R34)-1))</f>
        <v>57</v>
      </c>
      <c r="Y34" s="8">
        <f>IF( 'Amputation Summary'!$Q$33=2, S34, IF('Amputation Summary'!$Q$33=1,R34))</f>
        <v>1</v>
      </c>
      <c r="Z34" s="11">
        <v>5</v>
      </c>
      <c r="AA34">
        <v>1</v>
      </c>
      <c r="AB34">
        <f t="shared" si="8"/>
        <v>4</v>
      </c>
      <c r="AC34">
        <v>5</v>
      </c>
      <c r="AD34">
        <f t="shared" si="9"/>
        <v>0</v>
      </c>
      <c r="AE34">
        <v>15</v>
      </c>
      <c r="AF34" s="46">
        <f t="shared" si="10"/>
        <v>15</v>
      </c>
      <c r="AG34" s="11">
        <f>IF('Amputation Summary'!$O$4=2, M34, IF('Amputation Summary'!$O$4=1,Z34))</f>
        <v>5</v>
      </c>
      <c r="AH34" s="11">
        <f>IF('Amputation Summary'!$O$4=2, P34, IF('Amputation Summary'!$O$4=1,AB34))</f>
        <v>4</v>
      </c>
      <c r="AI34" s="11">
        <f>IF('Amputation Summary'!$O$4=2, Q34, IF('Amputation Summary'!$O$4=1,AD34))</f>
        <v>0</v>
      </c>
      <c r="AJ34">
        <v>1</v>
      </c>
      <c r="AK34" s="152">
        <f t="shared" si="4"/>
        <v>5.3</v>
      </c>
      <c r="AL34" s="152">
        <f t="shared" si="5"/>
        <v>1.27</v>
      </c>
      <c r="AM34">
        <v>56</v>
      </c>
    </row>
    <row r="35" spans="1:39" x14ac:dyDescent="0.25">
      <c r="A35" s="139" t="s">
        <v>17</v>
      </c>
      <c r="B35" s="139" t="s">
        <v>504</v>
      </c>
      <c r="C35" s="140">
        <v>78</v>
      </c>
      <c r="D35" s="140">
        <v>188</v>
      </c>
      <c r="E35" s="141" t="s">
        <v>226</v>
      </c>
      <c r="F35" s="145">
        <v>0.98148149251937866</v>
      </c>
      <c r="G35" s="141">
        <v>42</v>
      </c>
      <c r="H35" s="141">
        <v>36</v>
      </c>
      <c r="I35" s="142">
        <v>1.17</v>
      </c>
      <c r="J35" s="142">
        <v>0.75</v>
      </c>
      <c r="K35" s="142">
        <v>1.82</v>
      </c>
      <c r="L35" s="141" t="s">
        <v>809</v>
      </c>
      <c r="M35" s="141">
        <v>98.1</v>
      </c>
      <c r="N35" s="181">
        <v>90.1</v>
      </c>
      <c r="O35" s="181">
        <v>100</v>
      </c>
      <c r="P35" s="181">
        <f t="shared" si="6"/>
        <v>8</v>
      </c>
      <c r="Q35" s="181">
        <f t="shared" si="7"/>
        <v>1.9000000000000057</v>
      </c>
      <c r="R35" s="144">
        <v>0.9</v>
      </c>
      <c r="S35" s="144">
        <v>0.28999999999999998</v>
      </c>
      <c r="T35" s="145">
        <v>0.1</v>
      </c>
      <c r="U35" t="str">
        <f t="shared" si="1"/>
        <v>RAJ</v>
      </c>
      <c r="V35">
        <f t="shared" si="2"/>
        <v>3</v>
      </c>
      <c r="W35">
        <f t="shared" si="3"/>
        <v>1</v>
      </c>
      <c r="X35" s="46">
        <f>IF('Amputation Summary'!$Q$33=2,RANK(S35,S$8:S$76,1)+COUNTIF($S$8:S35,S35)-1,IF('Amputation Summary'!$Q$33=1,RANK(R35,R$8:R$76,1)+COUNTIF($R35:R35,R35)-1))</f>
        <v>39</v>
      </c>
      <c r="Y35" s="8">
        <f>IF( 'Amputation Summary'!$Q$33=2, S35, IF('Amputation Summary'!$Q$33=1,R35))</f>
        <v>0.9</v>
      </c>
      <c r="Z35" s="11">
        <v>3</v>
      </c>
      <c r="AA35">
        <v>1</v>
      </c>
      <c r="AB35">
        <f t="shared" si="8"/>
        <v>2</v>
      </c>
      <c r="AC35">
        <v>8</v>
      </c>
      <c r="AD35">
        <f t="shared" si="9"/>
        <v>5</v>
      </c>
      <c r="AE35">
        <v>5</v>
      </c>
      <c r="AF35" s="46">
        <f t="shared" si="10"/>
        <v>5</v>
      </c>
      <c r="AG35" s="11">
        <f>IF('Amputation Summary'!$O$4=2, M35, IF('Amputation Summary'!$O$4=1,Z35))</f>
        <v>3</v>
      </c>
      <c r="AH35" s="11">
        <f>IF('Amputation Summary'!$O$4=2, P35, IF('Amputation Summary'!$O$4=1,AB35))</f>
        <v>2</v>
      </c>
      <c r="AI35" s="11">
        <f>IF('Amputation Summary'!$O$4=2, Q35, IF('Amputation Summary'!$O$4=1,AD35))</f>
        <v>5</v>
      </c>
      <c r="AJ35">
        <v>1</v>
      </c>
      <c r="AK35" s="152">
        <f t="shared" si="4"/>
        <v>0.65000000000000013</v>
      </c>
      <c r="AL35" s="152">
        <f t="shared" si="5"/>
        <v>0.41999999999999993</v>
      </c>
      <c r="AM35">
        <v>41</v>
      </c>
    </row>
    <row r="36" spans="1:39" x14ac:dyDescent="0.25">
      <c r="A36" s="139" t="s">
        <v>91</v>
      </c>
      <c r="B36" s="139" t="s">
        <v>92</v>
      </c>
      <c r="C36" s="140">
        <v>102</v>
      </c>
      <c r="D36" s="140">
        <v>306</v>
      </c>
      <c r="E36" s="141" t="s">
        <v>761</v>
      </c>
      <c r="F36" s="145">
        <v>0.87323945760726929</v>
      </c>
      <c r="G36" s="141">
        <v>66</v>
      </c>
      <c r="H36" s="141">
        <v>36</v>
      </c>
      <c r="I36" s="142">
        <v>1.83</v>
      </c>
      <c r="J36" s="142">
        <v>1.22</v>
      </c>
      <c r="K36" s="142">
        <v>2.75</v>
      </c>
      <c r="L36" s="141" t="s">
        <v>810</v>
      </c>
      <c r="M36" s="141">
        <v>87.3</v>
      </c>
      <c r="N36" s="181">
        <v>77.3</v>
      </c>
      <c r="O36" s="181">
        <v>94</v>
      </c>
      <c r="P36" s="181">
        <f t="shared" si="6"/>
        <v>10</v>
      </c>
      <c r="Q36" s="181">
        <f t="shared" si="7"/>
        <v>6.7000000000000028</v>
      </c>
      <c r="R36" s="144">
        <v>0.24</v>
      </c>
      <c r="S36" s="144">
        <v>0.84</v>
      </c>
      <c r="T36" s="145">
        <v>6.4000000000000001E-2</v>
      </c>
      <c r="U36" t="str">
        <f t="shared" si="1"/>
        <v>RTD</v>
      </c>
      <c r="V36">
        <f t="shared" si="2"/>
        <v>1</v>
      </c>
      <c r="W36">
        <f t="shared" si="3"/>
        <v>2</v>
      </c>
      <c r="X36" s="46">
        <f>IF('Amputation Summary'!$Q$33=2,RANK(S36,S$8:S$76,1)+COUNTIF($S$8:S36,S36)-1,IF('Amputation Summary'!$Q$33=1,RANK(R36,R$8:R$76,1)+COUNTIF($R36:R36,R36)-1))</f>
        <v>3</v>
      </c>
      <c r="Y36" s="8">
        <f>IF( 'Amputation Summary'!$Q$33=2, S36, IF('Amputation Summary'!$Q$33=1,R36))</f>
        <v>0.24</v>
      </c>
      <c r="Z36" s="11">
        <v>6</v>
      </c>
      <c r="AA36">
        <v>2</v>
      </c>
      <c r="AB36">
        <f t="shared" si="8"/>
        <v>4</v>
      </c>
      <c r="AC36">
        <v>20</v>
      </c>
      <c r="AD36">
        <f t="shared" si="9"/>
        <v>14</v>
      </c>
      <c r="AE36">
        <v>25</v>
      </c>
      <c r="AF36" s="46">
        <f t="shared" si="10"/>
        <v>25</v>
      </c>
      <c r="AG36" s="11">
        <f>IF('Amputation Summary'!$O$4=2, M36, IF('Amputation Summary'!$O$4=1,Z36))</f>
        <v>6</v>
      </c>
      <c r="AH36" s="11">
        <f>IF('Amputation Summary'!$O$4=2, P36, IF('Amputation Summary'!$O$4=1,AB36))</f>
        <v>4</v>
      </c>
      <c r="AI36" s="11">
        <f>IF('Amputation Summary'!$O$4=2, Q36, IF('Amputation Summary'!$O$4=1,AD36))</f>
        <v>14</v>
      </c>
      <c r="AJ36">
        <v>1</v>
      </c>
      <c r="AK36" s="152">
        <f t="shared" si="4"/>
        <v>0.91999999999999993</v>
      </c>
      <c r="AL36" s="152">
        <f t="shared" si="5"/>
        <v>0.6100000000000001</v>
      </c>
      <c r="AM36">
        <v>59</v>
      </c>
    </row>
    <row r="37" spans="1:39" x14ac:dyDescent="0.25">
      <c r="A37" s="139" t="s">
        <v>558</v>
      </c>
      <c r="B37" s="139" t="s">
        <v>559</v>
      </c>
      <c r="C37" s="140">
        <v>10</v>
      </c>
      <c r="D37" s="140">
        <v>36</v>
      </c>
      <c r="E37" s="141" t="s">
        <v>762</v>
      </c>
      <c r="F37" s="145">
        <v>0.80000001192092896</v>
      </c>
      <c r="G37" s="141">
        <v>5</v>
      </c>
      <c r="H37" s="141">
        <v>5</v>
      </c>
      <c r="I37" s="142">
        <v>1</v>
      </c>
      <c r="J37" s="142">
        <v>0.28999999999999998</v>
      </c>
      <c r="K37" s="142">
        <v>3.45</v>
      </c>
      <c r="L37" s="141" t="s">
        <v>811</v>
      </c>
      <c r="M37" s="141">
        <v>80</v>
      </c>
      <c r="N37" s="181">
        <v>28.4</v>
      </c>
      <c r="O37" s="181">
        <v>99.5</v>
      </c>
      <c r="P37" s="181">
        <f t="shared" si="6"/>
        <v>51.6</v>
      </c>
      <c r="Q37" s="181">
        <f t="shared" si="7"/>
        <v>19.5</v>
      </c>
      <c r="R37" s="144">
        <v>1</v>
      </c>
      <c r="S37" s="144">
        <v>0</v>
      </c>
      <c r="T37" s="145">
        <v>0.14299999999999999</v>
      </c>
      <c r="U37" t="str">
        <f t="shared" si="1"/>
        <v>SY999</v>
      </c>
      <c r="V37">
        <f t="shared" si="2"/>
        <v>4</v>
      </c>
      <c r="W37">
        <f t="shared" si="3"/>
        <v>1</v>
      </c>
      <c r="X37" s="46">
        <f>IF('Amputation Summary'!$Q$33=2,RANK(S37,S$8:S$76,1)+COUNTIF($S$8:S37,S37)-1,IF('Amputation Summary'!$Q$33=1,RANK(R37,R$8:R$76,1)+COUNTIF($R37:R37,R37)-1))</f>
        <v>57</v>
      </c>
      <c r="Y37" s="8">
        <f>IF( 'Amputation Summary'!$Q$33=2, S37, IF('Amputation Summary'!$Q$33=1,R37))</f>
        <v>1</v>
      </c>
      <c r="Z37" s="11">
        <v>11</v>
      </c>
      <c r="AA37">
        <v>9</v>
      </c>
      <c r="AB37">
        <f t="shared" si="8"/>
        <v>2</v>
      </c>
      <c r="AC37">
        <v>12</v>
      </c>
      <c r="AD37">
        <f t="shared" si="9"/>
        <v>1</v>
      </c>
      <c r="AE37">
        <v>57</v>
      </c>
      <c r="AF37" s="46">
        <f t="shared" si="10"/>
        <v>57</v>
      </c>
      <c r="AG37" s="11">
        <f>IF('Amputation Summary'!$O$4=2, M37, IF('Amputation Summary'!$O$4=1,Z37))</f>
        <v>11</v>
      </c>
      <c r="AH37" s="11">
        <f>IF('Amputation Summary'!$O$4=2, P37, IF('Amputation Summary'!$O$4=1,AB37))</f>
        <v>2</v>
      </c>
      <c r="AI37" s="11">
        <f>IF('Amputation Summary'!$O$4=2, Q37, IF('Amputation Summary'!$O$4=1,AD37))</f>
        <v>1</v>
      </c>
      <c r="AJ37">
        <v>1</v>
      </c>
      <c r="AK37" s="152">
        <f t="shared" si="4"/>
        <v>2.4500000000000002</v>
      </c>
      <c r="AL37" s="152">
        <f t="shared" si="5"/>
        <v>0.71</v>
      </c>
      <c r="AM37">
        <v>34</v>
      </c>
    </row>
    <row r="38" spans="1:39" x14ac:dyDescent="0.25">
      <c r="A38" s="139" t="s">
        <v>139</v>
      </c>
      <c r="B38" s="139" t="s">
        <v>140</v>
      </c>
      <c r="C38" s="140">
        <v>10</v>
      </c>
      <c r="D38" s="140">
        <v>17</v>
      </c>
      <c r="E38" s="141" t="s">
        <v>763</v>
      </c>
      <c r="F38" s="145">
        <v>0.8571428656578064</v>
      </c>
      <c r="G38" s="141">
        <v>3</v>
      </c>
      <c r="H38" s="141">
        <v>7</v>
      </c>
      <c r="I38" s="142">
        <v>0.43</v>
      </c>
      <c r="J38" s="142">
        <v>0.11</v>
      </c>
      <c r="K38" s="142">
        <v>1.66</v>
      </c>
      <c r="L38" s="141" t="s">
        <v>812</v>
      </c>
      <c r="M38" s="141">
        <v>85.7</v>
      </c>
      <c r="N38" s="181">
        <v>42.1</v>
      </c>
      <c r="O38" s="181">
        <v>99.6</v>
      </c>
      <c r="P38" s="181">
        <f t="shared" si="6"/>
        <v>43.6</v>
      </c>
      <c r="Q38" s="181">
        <f t="shared" si="7"/>
        <v>13.899999999999991</v>
      </c>
      <c r="R38" s="144">
        <v>1</v>
      </c>
      <c r="S38" s="144">
        <v>1</v>
      </c>
      <c r="T38" s="145">
        <v>9.7000000000000003E-2</v>
      </c>
      <c r="U38" t="str">
        <f t="shared" si="1"/>
        <v>SN999</v>
      </c>
      <c r="V38">
        <f t="shared" si="2"/>
        <v>4</v>
      </c>
      <c r="W38">
        <f t="shared" si="3"/>
        <v>4</v>
      </c>
      <c r="X38" s="46">
        <f>IF('Amputation Summary'!$Q$33=2,RANK(S38,S$8:S$76,1)+COUNTIF($S$8:S38,S38)-1,IF('Amputation Summary'!$Q$33=1,RANK(R38,R$8:R$76,1)+COUNTIF($R38:R38,R38)-1))</f>
        <v>57</v>
      </c>
      <c r="Y38" s="8">
        <f>IF( 'Amputation Summary'!$Q$33=2, S38, IF('Amputation Summary'!$Q$33=1,R38))</f>
        <v>1</v>
      </c>
      <c r="Z38" s="11">
        <v>21</v>
      </c>
      <c r="AA38">
        <v>13</v>
      </c>
      <c r="AB38">
        <f t="shared" si="8"/>
        <v>8</v>
      </c>
      <c r="AC38">
        <v>29</v>
      </c>
      <c r="AD38">
        <f t="shared" si="9"/>
        <v>8</v>
      </c>
      <c r="AE38">
        <v>65</v>
      </c>
      <c r="AF38" s="46">
        <f t="shared" si="10"/>
        <v>65</v>
      </c>
      <c r="AG38" s="11">
        <f>IF('Amputation Summary'!$O$4=2, M38, IF('Amputation Summary'!$O$4=1,Z38))</f>
        <v>21</v>
      </c>
      <c r="AH38" s="11">
        <f>IF('Amputation Summary'!$O$4=2, P38, IF('Amputation Summary'!$O$4=1,AB38))</f>
        <v>8</v>
      </c>
      <c r="AI38" s="11">
        <f>IF('Amputation Summary'!$O$4=2, Q38, IF('Amputation Summary'!$O$4=1,AD38))</f>
        <v>8</v>
      </c>
      <c r="AJ38">
        <v>1</v>
      </c>
      <c r="AK38" s="152">
        <f t="shared" si="4"/>
        <v>1.23</v>
      </c>
      <c r="AL38" s="152">
        <f t="shared" si="5"/>
        <v>0.32</v>
      </c>
      <c r="AM38">
        <v>5</v>
      </c>
    </row>
    <row r="39" spans="1:39" x14ac:dyDescent="0.25">
      <c r="A39" s="139" t="s">
        <v>133</v>
      </c>
      <c r="B39" s="139" t="s">
        <v>134</v>
      </c>
      <c r="C39" s="140">
        <v>1</v>
      </c>
      <c r="D39" s="140">
        <v>7</v>
      </c>
      <c r="E39" s="77" t="s">
        <v>284</v>
      </c>
      <c r="F39" s="145" t="s">
        <v>284</v>
      </c>
      <c r="G39" s="141">
        <v>0</v>
      </c>
      <c r="H39" s="141">
        <v>1</v>
      </c>
      <c r="I39" s="142" t="s">
        <v>284</v>
      </c>
      <c r="J39" s="142">
        <v>0</v>
      </c>
      <c r="K39" s="142">
        <v>7.5</v>
      </c>
      <c r="L39" s="141" t="s">
        <v>284</v>
      </c>
      <c r="M39" s="141" t="e">
        <v>#VALUE!</v>
      </c>
      <c r="N39" s="181" t="e">
        <v>#VALUE!</v>
      </c>
      <c r="O39" s="181" t="e">
        <v>#VALUE!</v>
      </c>
      <c r="P39" s="181" t="e">
        <f t="shared" si="6"/>
        <v>#VALUE!</v>
      </c>
      <c r="Q39" s="181" t="e">
        <f t="shared" si="7"/>
        <v>#VALUE!</v>
      </c>
      <c r="R39" s="141" t="s">
        <v>276</v>
      </c>
      <c r="S39" s="141" t="s">
        <v>276</v>
      </c>
      <c r="T39" s="145">
        <v>0.14599999999999999</v>
      </c>
      <c r="U39" t="str">
        <f t="shared" si="1"/>
        <v>SG999</v>
      </c>
      <c r="V39">
        <f t="shared" si="2"/>
        <v>4</v>
      </c>
      <c r="W39">
        <f t="shared" si="3"/>
        <v>4</v>
      </c>
      <c r="X39" s="46" t="e">
        <f>IF('Amputation Summary'!$Q$33=2,RANK(S39,S$8:S$76,1)+COUNTIF($S$8:S39,S39)-1,IF('Amputation Summary'!$Q$33=1,RANK(R39,R$8:R$76,1)+COUNTIF($R39:R39,R39)-1))</f>
        <v>#VALUE!</v>
      </c>
      <c r="Y39" s="8" t="str">
        <f>IF( 'Amputation Summary'!$Q$33=2, S39, IF('Amputation Summary'!$Q$33=1,R39))</f>
        <v>N/A</v>
      </c>
      <c r="Z39" s="11" t="s">
        <v>284</v>
      </c>
      <c r="AA39" t="e">
        <v>#VALUE!</v>
      </c>
      <c r="AB39" t="e">
        <f t="shared" si="8"/>
        <v>#VALUE!</v>
      </c>
      <c r="AC39" t="e">
        <v>#VALUE!</v>
      </c>
      <c r="AD39" t="e">
        <f t="shared" si="9"/>
        <v>#VALUE!</v>
      </c>
      <c r="AE39">
        <v>67</v>
      </c>
      <c r="AF39" s="46">
        <f t="shared" si="10"/>
        <v>67</v>
      </c>
      <c r="AG39" s="11" t="str">
        <f>IF('Amputation Summary'!$O$4=2, M39, IF('Amputation Summary'!$O$4=1,Z39))</f>
        <v>xx</v>
      </c>
      <c r="AH39" s="11" t="e">
        <f>IF('Amputation Summary'!$O$4=2, P39, IF('Amputation Summary'!$O$4=1,AB39))</f>
        <v>#VALUE!</v>
      </c>
      <c r="AI39" s="11" t="e">
        <f>IF('Amputation Summary'!$O$4=2, Q39, IF('Amputation Summary'!$O$4=1,AD39))</f>
        <v>#VALUE!</v>
      </c>
      <c r="AJ39">
        <v>1</v>
      </c>
      <c r="AK39" s="152" t="e">
        <f t="shared" si="4"/>
        <v>#VALUE!</v>
      </c>
      <c r="AL39" s="152" t="e">
        <f t="shared" si="5"/>
        <v>#VALUE!</v>
      </c>
      <c r="AM39">
        <v>67</v>
      </c>
    </row>
    <row r="40" spans="1:39" x14ac:dyDescent="0.25">
      <c r="A40" s="139" t="s">
        <v>135</v>
      </c>
      <c r="B40" s="139" t="s">
        <v>136</v>
      </c>
      <c r="C40" s="140">
        <v>39</v>
      </c>
      <c r="D40" s="140">
        <v>95</v>
      </c>
      <c r="E40" s="141" t="s">
        <v>476</v>
      </c>
      <c r="F40" s="146">
        <v>0.97399999999999998</v>
      </c>
      <c r="G40" s="141">
        <v>11</v>
      </c>
      <c r="H40" s="141">
        <v>28</v>
      </c>
      <c r="I40" s="142">
        <v>0.39</v>
      </c>
      <c r="J40" s="142">
        <v>0.2</v>
      </c>
      <c r="K40" s="142">
        <v>0.79</v>
      </c>
      <c r="L40" s="141" t="s">
        <v>813</v>
      </c>
      <c r="M40" s="141">
        <v>97.4</v>
      </c>
      <c r="N40" s="181">
        <v>86.2</v>
      </c>
      <c r="O40" s="181">
        <v>99.9</v>
      </c>
      <c r="P40" s="181">
        <f t="shared" si="6"/>
        <v>11.200000000000003</v>
      </c>
      <c r="Q40" s="181">
        <f t="shared" si="7"/>
        <v>2.5</v>
      </c>
      <c r="R40" s="144">
        <v>1</v>
      </c>
      <c r="S40" s="144">
        <v>0.97</v>
      </c>
      <c r="T40" s="145">
        <v>8.7999999999999995E-2</v>
      </c>
      <c r="U40" t="str">
        <f t="shared" ref="U40:U76" si="11">A40</f>
        <v>SH999</v>
      </c>
      <c r="V40">
        <f t="shared" ref="V40:V76" si="12">+IF(R40&lt;R$2,1,IF(R40&lt;R$3,2,IF(R40&lt;R$4,3,4)))</f>
        <v>4</v>
      </c>
      <c r="W40">
        <f t="shared" ref="W40:W76" si="13">+IF(S40&lt;S$2,1,IF(S40&lt;S$3,2,IF(S40&lt;S$4,3,4)))</f>
        <v>3</v>
      </c>
      <c r="X40" s="46">
        <f>IF('Amputation Summary'!$Q$33=2,RANK(S40,S$8:S$76,1)+COUNTIF($S$8:S40,S40)-1,IF('Amputation Summary'!$Q$33=1,RANK(R40,R$8:R$76,1)+COUNTIF($R40:R40,R40)-1))</f>
        <v>57</v>
      </c>
      <c r="Y40" s="8">
        <f>IF( 'Amputation Summary'!$Q$33=2, S40, IF('Amputation Summary'!$Q$33=1,R40))</f>
        <v>1</v>
      </c>
      <c r="Z40" s="11">
        <v>3</v>
      </c>
      <c r="AA40">
        <v>1</v>
      </c>
      <c r="AB40">
        <f t="shared" si="8"/>
        <v>2</v>
      </c>
      <c r="AC40">
        <v>10</v>
      </c>
      <c r="AD40">
        <f t="shared" si="9"/>
        <v>7</v>
      </c>
      <c r="AE40">
        <v>8</v>
      </c>
      <c r="AF40" s="46">
        <f t="shared" si="10"/>
        <v>8</v>
      </c>
      <c r="AG40" s="11">
        <f>IF('Amputation Summary'!$O$4=2, M40, IF('Amputation Summary'!$O$4=1,Z40))</f>
        <v>3</v>
      </c>
      <c r="AH40" s="11">
        <f>IF('Amputation Summary'!$O$4=2, P40, IF('Amputation Summary'!$O$4=1,AB40))</f>
        <v>2</v>
      </c>
      <c r="AI40" s="11">
        <f>IF('Amputation Summary'!$O$4=2, Q40, IF('Amputation Summary'!$O$4=1,AD40))</f>
        <v>7</v>
      </c>
      <c r="AJ40">
        <v>1</v>
      </c>
      <c r="AK40" s="152">
        <f t="shared" ref="AK40:AK72" si="14">K40-I40</f>
        <v>0.4</v>
      </c>
      <c r="AL40" s="152">
        <f t="shared" ref="AL40:AL72" si="15">I40-J40</f>
        <v>0.19</v>
      </c>
      <c r="AM40">
        <v>3</v>
      </c>
    </row>
    <row r="41" spans="1:39" x14ac:dyDescent="0.25">
      <c r="A41" s="139" t="s">
        <v>137</v>
      </c>
      <c r="B41" s="139" t="s">
        <v>138</v>
      </c>
      <c r="C41" s="140">
        <v>81</v>
      </c>
      <c r="D41" s="140">
        <v>264</v>
      </c>
      <c r="E41" s="141" t="s">
        <v>764</v>
      </c>
      <c r="F41" s="145">
        <v>0.70588237047195435</v>
      </c>
      <c r="G41" s="141">
        <v>43</v>
      </c>
      <c r="H41" s="141">
        <v>38</v>
      </c>
      <c r="I41" s="142">
        <v>1.1299999999999999</v>
      </c>
      <c r="J41" s="142">
        <v>0.73</v>
      </c>
      <c r="K41" s="142">
        <v>1.75</v>
      </c>
      <c r="L41" s="141" t="s">
        <v>814</v>
      </c>
      <c r="M41" s="141">
        <v>70.599999999999994</v>
      </c>
      <c r="N41" s="181">
        <v>56.2</v>
      </c>
      <c r="O41" s="181">
        <v>82.5</v>
      </c>
      <c r="P41" s="181">
        <f t="shared" si="6"/>
        <v>14.399999999999991</v>
      </c>
      <c r="Q41" s="181">
        <f t="shared" si="7"/>
        <v>11.900000000000006</v>
      </c>
      <c r="R41" s="144">
        <v>0.84</v>
      </c>
      <c r="S41" s="144">
        <v>0.28000000000000003</v>
      </c>
      <c r="T41" s="145">
        <v>6.5000000000000002E-2</v>
      </c>
      <c r="U41" t="str">
        <f t="shared" si="11"/>
        <v>SL999</v>
      </c>
      <c r="V41">
        <f t="shared" si="12"/>
        <v>2</v>
      </c>
      <c r="W41">
        <f t="shared" si="13"/>
        <v>1</v>
      </c>
      <c r="X41" s="46">
        <f>IF('Amputation Summary'!$Q$33=2,RANK(S41,S$8:S$76,1)+COUNTIF($S$8:S41,S41)-1,IF('Amputation Summary'!$Q$33=1,RANK(R41,R$8:R$76,1)+COUNTIF($R41:R41,R41)-1))</f>
        <v>28</v>
      </c>
      <c r="Y41" s="8">
        <f>IF( 'Amputation Summary'!$Q$33=2, S41, IF('Amputation Summary'!$Q$33=1,R41))</f>
        <v>0.84</v>
      </c>
      <c r="Z41" s="11">
        <v>8</v>
      </c>
      <c r="AA41">
        <v>4</v>
      </c>
      <c r="AB41">
        <f t="shared" si="8"/>
        <v>4</v>
      </c>
      <c r="AC41">
        <v>41</v>
      </c>
      <c r="AD41">
        <f t="shared" si="9"/>
        <v>33</v>
      </c>
      <c r="AE41">
        <v>41</v>
      </c>
      <c r="AF41" s="46">
        <f t="shared" si="10"/>
        <v>41</v>
      </c>
      <c r="AG41" s="11">
        <f>IF('Amputation Summary'!$O$4=2, M41, IF('Amputation Summary'!$O$4=1,Z41))</f>
        <v>8</v>
      </c>
      <c r="AH41" s="11">
        <f>IF('Amputation Summary'!$O$4=2, P41, IF('Amputation Summary'!$O$4=1,AB41))</f>
        <v>4</v>
      </c>
      <c r="AI41" s="11">
        <f>IF('Amputation Summary'!$O$4=2, Q41, IF('Amputation Summary'!$O$4=1,AD41))</f>
        <v>33</v>
      </c>
      <c r="AJ41">
        <v>1</v>
      </c>
      <c r="AK41" s="152">
        <f t="shared" si="14"/>
        <v>0.62000000000000011</v>
      </c>
      <c r="AL41" s="152">
        <f t="shared" si="15"/>
        <v>0.39999999999999991</v>
      </c>
      <c r="AM41">
        <v>37</v>
      </c>
    </row>
    <row r="42" spans="1:39" x14ac:dyDescent="0.25">
      <c r="A42" s="139" t="s">
        <v>141</v>
      </c>
      <c r="B42" s="139" t="s">
        <v>142</v>
      </c>
      <c r="C42" s="140">
        <v>6</v>
      </c>
      <c r="D42" s="140">
        <v>11</v>
      </c>
      <c r="E42" s="141" t="s">
        <v>765</v>
      </c>
      <c r="F42" s="145">
        <v>0.75</v>
      </c>
      <c r="G42" s="141">
        <v>2</v>
      </c>
      <c r="H42" s="141">
        <v>4</v>
      </c>
      <c r="I42" s="142">
        <v>0.5</v>
      </c>
      <c r="J42" s="142">
        <v>0.09</v>
      </c>
      <c r="K42" s="142">
        <v>2.73</v>
      </c>
      <c r="L42" s="141" t="s">
        <v>815</v>
      </c>
      <c r="M42" s="141">
        <v>75</v>
      </c>
      <c r="N42" s="181">
        <v>19.399999999999999</v>
      </c>
      <c r="O42" s="181">
        <v>99.4</v>
      </c>
      <c r="P42" s="181">
        <f t="shared" si="6"/>
        <v>55.6</v>
      </c>
      <c r="Q42" s="181">
        <f t="shared" si="7"/>
        <v>24.400000000000006</v>
      </c>
      <c r="R42" s="144">
        <v>0.17</v>
      </c>
      <c r="S42" s="144">
        <v>1</v>
      </c>
      <c r="T42" s="145">
        <v>0</v>
      </c>
      <c r="U42" t="str">
        <f t="shared" si="11"/>
        <v>SS999</v>
      </c>
      <c r="V42">
        <f t="shared" si="12"/>
        <v>1</v>
      </c>
      <c r="W42">
        <f t="shared" si="13"/>
        <v>4</v>
      </c>
      <c r="X42" s="46">
        <f>IF('Amputation Summary'!$Q$33=2,RANK(S42,S$8:S$76,1)+COUNTIF($S$8:S42,S42)-1,IF('Amputation Summary'!$Q$33=1,RANK(R42,R$8:R$76,1)+COUNTIF($R42:R42,R42)-1))</f>
        <v>2</v>
      </c>
      <c r="Y42" s="8">
        <f>IF( 'Amputation Summary'!$Q$33=2, S42, IF('Amputation Summary'!$Q$33=1,R42))</f>
        <v>0.17</v>
      </c>
      <c r="Z42" s="11">
        <v>12</v>
      </c>
      <c r="AA42">
        <v>7</v>
      </c>
      <c r="AB42">
        <f t="shared" si="8"/>
        <v>5</v>
      </c>
      <c r="AC42">
        <v>33</v>
      </c>
      <c r="AD42">
        <f t="shared" si="9"/>
        <v>21</v>
      </c>
      <c r="AE42">
        <v>59</v>
      </c>
      <c r="AF42" s="46">
        <f t="shared" si="10"/>
        <v>59</v>
      </c>
      <c r="AG42" s="11">
        <f>IF('Amputation Summary'!$O$4=2, M42, IF('Amputation Summary'!$O$4=1,Z42))</f>
        <v>12</v>
      </c>
      <c r="AH42" s="11">
        <f>IF('Amputation Summary'!$O$4=2, P42, IF('Amputation Summary'!$O$4=1,AB42))</f>
        <v>5</v>
      </c>
      <c r="AI42" s="11">
        <f>IF('Amputation Summary'!$O$4=2, Q42, IF('Amputation Summary'!$O$4=1,AD42))</f>
        <v>21</v>
      </c>
      <c r="AJ42">
        <v>1</v>
      </c>
      <c r="AK42" s="152">
        <f t="shared" si="14"/>
        <v>2.23</v>
      </c>
      <c r="AL42" s="152">
        <f t="shared" si="15"/>
        <v>0.41000000000000003</v>
      </c>
      <c r="AM42">
        <v>6</v>
      </c>
    </row>
    <row r="43" spans="1:39" x14ac:dyDescent="0.25">
      <c r="A43" s="139" t="s">
        <v>143</v>
      </c>
      <c r="B43" s="139" t="s">
        <v>144</v>
      </c>
      <c r="C43" s="140">
        <v>41</v>
      </c>
      <c r="D43" s="140">
        <v>44</v>
      </c>
      <c r="E43" s="141" t="s">
        <v>766</v>
      </c>
      <c r="F43" s="145">
        <v>0.77142858505249023</v>
      </c>
      <c r="G43" s="141">
        <v>15</v>
      </c>
      <c r="H43" s="141">
        <v>26</v>
      </c>
      <c r="I43" s="142">
        <v>0.57999999999999996</v>
      </c>
      <c r="J43" s="142">
        <v>0.31</v>
      </c>
      <c r="K43" s="142">
        <v>1.0900000000000001</v>
      </c>
      <c r="L43" s="141" t="s">
        <v>816</v>
      </c>
      <c r="M43" s="141">
        <v>77.099999999999994</v>
      </c>
      <c r="N43" s="181">
        <v>59.9</v>
      </c>
      <c r="O43" s="181">
        <v>89.6</v>
      </c>
      <c r="P43" s="181">
        <f t="shared" si="6"/>
        <v>17.199999999999996</v>
      </c>
      <c r="Q43" s="181">
        <f t="shared" si="7"/>
        <v>12.5</v>
      </c>
      <c r="R43" s="144">
        <v>0.61</v>
      </c>
      <c r="S43" s="144">
        <v>0.8</v>
      </c>
      <c r="T43" s="145">
        <v>3.7999999999999999E-2</v>
      </c>
      <c r="U43" t="str">
        <f t="shared" si="11"/>
        <v>ST999</v>
      </c>
      <c r="V43">
        <f t="shared" si="12"/>
        <v>1</v>
      </c>
      <c r="W43">
        <f t="shared" si="13"/>
        <v>1</v>
      </c>
      <c r="X43" s="46">
        <f>IF('Amputation Summary'!$Q$33=2,RANK(S43,S$8:S$76,1)+COUNTIF($S$8:S43,S43)-1,IF('Amputation Summary'!$Q$33=1,RANK(R43,R$8:R$76,1)+COUNTIF($R43:R43,R43)-1))</f>
        <v>17</v>
      </c>
      <c r="Y43" s="8">
        <f>IF( 'Amputation Summary'!$Q$33=2, S43, IF('Amputation Summary'!$Q$33=1,R43))</f>
        <v>0.61</v>
      </c>
      <c r="Z43" s="11">
        <v>11</v>
      </c>
      <c r="AA43">
        <v>6</v>
      </c>
      <c r="AB43">
        <f t="shared" si="8"/>
        <v>5</v>
      </c>
      <c r="AC43">
        <v>28</v>
      </c>
      <c r="AD43">
        <f t="shared" si="9"/>
        <v>17</v>
      </c>
      <c r="AE43">
        <v>56</v>
      </c>
      <c r="AF43" s="46">
        <f t="shared" si="10"/>
        <v>56</v>
      </c>
      <c r="AG43" s="11">
        <f>IF('Amputation Summary'!$O$4=2, M43, IF('Amputation Summary'!$O$4=1,Z43))</f>
        <v>11</v>
      </c>
      <c r="AH43" s="11">
        <f>IF('Amputation Summary'!$O$4=2, P43, IF('Amputation Summary'!$O$4=1,AB43))</f>
        <v>5</v>
      </c>
      <c r="AI43" s="11">
        <f>IF('Amputation Summary'!$O$4=2, Q43, IF('Amputation Summary'!$O$4=1,AD43))</f>
        <v>17</v>
      </c>
      <c r="AJ43">
        <v>1</v>
      </c>
      <c r="AK43" s="152">
        <f t="shared" si="14"/>
        <v>0.51000000000000012</v>
      </c>
      <c r="AL43" s="152">
        <f t="shared" si="15"/>
        <v>0.26999999999999996</v>
      </c>
      <c r="AM43">
        <v>9</v>
      </c>
    </row>
    <row r="44" spans="1:39" x14ac:dyDescent="0.25">
      <c r="A44" s="139" t="s">
        <v>65</v>
      </c>
      <c r="B44" s="139" t="s">
        <v>66</v>
      </c>
      <c r="C44" s="140">
        <v>91</v>
      </c>
      <c r="D44" s="140">
        <v>229</v>
      </c>
      <c r="E44" s="141" t="s">
        <v>767</v>
      </c>
      <c r="F44" s="145">
        <v>0.72727274894714355</v>
      </c>
      <c r="G44" s="141">
        <v>45</v>
      </c>
      <c r="H44" s="141">
        <v>46</v>
      </c>
      <c r="I44" s="142">
        <v>0.98</v>
      </c>
      <c r="J44" s="142">
        <v>0.65</v>
      </c>
      <c r="K44" s="142">
        <v>1.48</v>
      </c>
      <c r="L44" s="141" t="s">
        <v>817</v>
      </c>
      <c r="M44" s="141">
        <v>72.7</v>
      </c>
      <c r="N44" s="181">
        <v>60.4</v>
      </c>
      <c r="O44" s="181">
        <v>83</v>
      </c>
      <c r="P44" s="181">
        <f t="shared" si="6"/>
        <v>12.300000000000004</v>
      </c>
      <c r="Q44" s="181">
        <f t="shared" si="7"/>
        <v>10.299999999999997</v>
      </c>
      <c r="R44" s="144">
        <v>0.15</v>
      </c>
      <c r="S44" s="144">
        <v>0.96</v>
      </c>
      <c r="T44" s="145">
        <v>3.9E-2</v>
      </c>
      <c r="U44" t="str">
        <f t="shared" si="11"/>
        <v>RM1</v>
      </c>
      <c r="V44">
        <f t="shared" si="12"/>
        <v>1</v>
      </c>
      <c r="W44">
        <f t="shared" si="13"/>
        <v>3</v>
      </c>
      <c r="X44" s="46">
        <f>IF('Amputation Summary'!$Q$33=2,RANK(S44,S$8:S$76,1)+COUNTIF($S$8:S44,S44)-1,IF('Amputation Summary'!$Q$33=1,RANK(R44,R$8:R$76,1)+COUNTIF($R44:R44,R44)-1))</f>
        <v>1</v>
      </c>
      <c r="Y44" s="8">
        <f>IF( 'Amputation Summary'!$Q$33=2, S44, IF('Amputation Summary'!$Q$33=1,R44))</f>
        <v>0.15</v>
      </c>
      <c r="Z44" s="11">
        <v>9</v>
      </c>
      <c r="AA44">
        <v>3</v>
      </c>
      <c r="AB44">
        <f t="shared" si="8"/>
        <v>6</v>
      </c>
      <c r="AC44">
        <v>36</v>
      </c>
      <c r="AD44">
        <f t="shared" si="9"/>
        <v>27</v>
      </c>
      <c r="AE44">
        <v>49</v>
      </c>
      <c r="AF44" s="46">
        <f t="shared" si="10"/>
        <v>49</v>
      </c>
      <c r="AG44" s="11">
        <f>IF('Amputation Summary'!$O$4=2, M44, IF('Amputation Summary'!$O$4=1,Z44))</f>
        <v>9</v>
      </c>
      <c r="AH44" s="11">
        <f>IF('Amputation Summary'!$O$4=2, P44, IF('Amputation Summary'!$O$4=1,AB44))</f>
        <v>6</v>
      </c>
      <c r="AI44" s="11">
        <f>IF('Amputation Summary'!$O$4=2, Q44, IF('Amputation Summary'!$O$4=1,AD44))</f>
        <v>27</v>
      </c>
      <c r="AJ44">
        <v>1</v>
      </c>
      <c r="AK44" s="152">
        <f t="shared" si="14"/>
        <v>0.5</v>
      </c>
      <c r="AL44" s="152">
        <f t="shared" si="15"/>
        <v>0.32999999999999996</v>
      </c>
      <c r="AM44">
        <v>30</v>
      </c>
    </row>
    <row r="45" spans="1:39" x14ac:dyDescent="0.25">
      <c r="A45" s="139" t="s">
        <v>100</v>
      </c>
      <c r="B45" s="139" t="s">
        <v>101</v>
      </c>
      <c r="C45" s="140">
        <v>60</v>
      </c>
      <c r="D45" s="140">
        <v>185</v>
      </c>
      <c r="E45" s="141" t="s">
        <v>768</v>
      </c>
      <c r="F45" s="145">
        <v>0.80000001192092896</v>
      </c>
      <c r="G45" s="141">
        <v>25</v>
      </c>
      <c r="H45" s="141">
        <v>35</v>
      </c>
      <c r="I45" s="142">
        <v>0.71</v>
      </c>
      <c r="J45" s="142">
        <v>0.43</v>
      </c>
      <c r="K45" s="142">
        <v>1.19</v>
      </c>
      <c r="L45" s="141" t="s">
        <v>818</v>
      </c>
      <c r="M45" s="141">
        <v>80</v>
      </c>
      <c r="N45" s="181">
        <v>63.1</v>
      </c>
      <c r="O45" s="181">
        <v>91.6</v>
      </c>
      <c r="P45" s="181">
        <f t="shared" si="6"/>
        <v>16.899999999999999</v>
      </c>
      <c r="Q45" s="181">
        <f t="shared" si="7"/>
        <v>11.599999999999994</v>
      </c>
      <c r="R45" s="144">
        <v>0.93</v>
      </c>
      <c r="S45" s="144">
        <v>1</v>
      </c>
      <c r="T45" s="145">
        <v>2.8000000000000001E-2</v>
      </c>
      <c r="U45" t="str">
        <f t="shared" si="11"/>
        <v>RVJ</v>
      </c>
      <c r="V45">
        <f t="shared" si="12"/>
        <v>3</v>
      </c>
      <c r="W45">
        <f t="shared" si="13"/>
        <v>4</v>
      </c>
      <c r="X45" s="46">
        <f>IF('Amputation Summary'!$Q$33=2,RANK(S45,S$8:S$76,1)+COUNTIF($S$8:S45,S45)-1,IF('Amputation Summary'!$Q$33=1,RANK(R45,R$8:R$76,1)+COUNTIF($R45:R45,R45)-1))</f>
        <v>48</v>
      </c>
      <c r="Y45" s="8">
        <f>IF( 'Amputation Summary'!$Q$33=2, S45, IF('Amputation Summary'!$Q$33=1,R45))</f>
        <v>0.93</v>
      </c>
      <c r="Z45" s="11">
        <v>5</v>
      </c>
      <c r="AA45">
        <v>3</v>
      </c>
      <c r="AB45">
        <f t="shared" si="8"/>
        <v>2</v>
      </c>
      <c r="AC45">
        <v>15</v>
      </c>
      <c r="AD45">
        <f t="shared" si="9"/>
        <v>10</v>
      </c>
      <c r="AE45">
        <v>22</v>
      </c>
      <c r="AF45" s="46">
        <f t="shared" si="10"/>
        <v>22</v>
      </c>
      <c r="AG45" s="11">
        <f>IF('Amputation Summary'!$O$4=2, M45, IF('Amputation Summary'!$O$4=1,Z45))</f>
        <v>5</v>
      </c>
      <c r="AH45" s="11">
        <f>IF('Amputation Summary'!$O$4=2, P45, IF('Amputation Summary'!$O$4=1,AB45))</f>
        <v>2</v>
      </c>
      <c r="AI45" s="11">
        <f>IF('Amputation Summary'!$O$4=2, Q45, IF('Amputation Summary'!$O$4=1,AD45))</f>
        <v>10</v>
      </c>
      <c r="AJ45">
        <v>1</v>
      </c>
      <c r="AK45" s="152">
        <f t="shared" si="14"/>
        <v>0.48</v>
      </c>
      <c r="AL45" s="152">
        <f t="shared" si="15"/>
        <v>0.27999999999999997</v>
      </c>
      <c r="AM45">
        <v>14</v>
      </c>
    </row>
    <row r="46" spans="1:39" x14ac:dyDescent="0.25">
      <c r="A46" s="139" t="s">
        <v>626</v>
      </c>
      <c r="B46" s="139" t="s">
        <v>518</v>
      </c>
      <c r="C46" s="140">
        <v>30</v>
      </c>
      <c r="D46" s="140">
        <v>111</v>
      </c>
      <c r="E46" s="141" t="s">
        <v>769</v>
      </c>
      <c r="F46" s="145">
        <v>0.8571428656578064</v>
      </c>
      <c r="G46" s="141">
        <v>17</v>
      </c>
      <c r="H46" s="141">
        <v>13</v>
      </c>
      <c r="I46" s="142">
        <v>1.31</v>
      </c>
      <c r="J46" s="142">
        <v>0.64</v>
      </c>
      <c r="K46" s="142">
        <v>2.69</v>
      </c>
      <c r="L46" s="141" t="s">
        <v>819</v>
      </c>
      <c r="M46" s="141">
        <v>85.7</v>
      </c>
      <c r="N46" s="181">
        <v>57.2</v>
      </c>
      <c r="O46" s="181">
        <v>98.2</v>
      </c>
      <c r="P46" s="181">
        <f t="shared" si="6"/>
        <v>28.5</v>
      </c>
      <c r="Q46" s="181">
        <f t="shared" si="7"/>
        <v>12.5</v>
      </c>
      <c r="R46" s="144">
        <v>0.9</v>
      </c>
      <c r="S46" s="144">
        <v>0.37</v>
      </c>
      <c r="T46" s="145">
        <v>9.2999999999999999E-2</v>
      </c>
      <c r="U46" t="str">
        <f t="shared" si="11"/>
        <v>RNN</v>
      </c>
      <c r="V46">
        <f t="shared" si="12"/>
        <v>3</v>
      </c>
      <c r="W46">
        <f t="shared" si="13"/>
        <v>1</v>
      </c>
      <c r="X46" s="46">
        <f>IF('Amputation Summary'!$Q$33=2,RANK(S46,S$8:S$76,1)+COUNTIF($S$8:S46,S46)-1,IF('Amputation Summary'!$Q$33=1,RANK(R46,R$8:R$76,1)+COUNTIF($R46:R46,R46)-1))</f>
        <v>39</v>
      </c>
      <c r="Y46" s="8">
        <f>IF( 'Amputation Summary'!$Q$33=2, S46, IF('Amputation Summary'!$Q$33=1,R46))</f>
        <v>0.9</v>
      </c>
      <c r="Z46" s="11">
        <v>5</v>
      </c>
      <c r="AA46">
        <v>1</v>
      </c>
      <c r="AB46">
        <f t="shared" si="8"/>
        <v>4</v>
      </c>
      <c r="AC46">
        <v>7</v>
      </c>
      <c r="AD46">
        <f t="shared" si="9"/>
        <v>2</v>
      </c>
      <c r="AE46">
        <v>16</v>
      </c>
      <c r="AF46" s="46">
        <f t="shared" si="10"/>
        <v>16</v>
      </c>
      <c r="AG46" s="11">
        <f>IF('Amputation Summary'!$O$4=2, M46, IF('Amputation Summary'!$O$4=1,Z46))</f>
        <v>5</v>
      </c>
      <c r="AH46" s="11">
        <f>IF('Amputation Summary'!$O$4=2, P46, IF('Amputation Summary'!$O$4=1,AB46))</f>
        <v>4</v>
      </c>
      <c r="AI46" s="11">
        <f>IF('Amputation Summary'!$O$4=2, Q46, IF('Amputation Summary'!$O$4=1,AD46))</f>
        <v>2</v>
      </c>
      <c r="AJ46">
        <v>1</v>
      </c>
      <c r="AK46" s="152">
        <f t="shared" si="14"/>
        <v>1.38</v>
      </c>
      <c r="AL46" s="152">
        <f t="shared" si="15"/>
        <v>0.67</v>
      </c>
      <c r="AM46">
        <v>46</v>
      </c>
    </row>
    <row r="47" spans="1:39" x14ac:dyDescent="0.25">
      <c r="A47" s="139" t="s">
        <v>72</v>
      </c>
      <c r="B47" s="139" t="s">
        <v>73</v>
      </c>
      <c r="C47" s="140">
        <v>29</v>
      </c>
      <c r="D47" s="140">
        <v>96</v>
      </c>
      <c r="E47" s="141" t="s">
        <v>376</v>
      </c>
      <c r="F47" s="145">
        <v>0.9047619104385376</v>
      </c>
      <c r="G47" s="141">
        <v>17</v>
      </c>
      <c r="H47" s="141">
        <v>12</v>
      </c>
      <c r="I47" s="142">
        <v>1.42</v>
      </c>
      <c r="J47" s="142">
        <v>0.68</v>
      </c>
      <c r="K47" s="142">
        <v>2.97</v>
      </c>
      <c r="L47" s="141" t="s">
        <v>820</v>
      </c>
      <c r="M47" s="141">
        <v>90.5</v>
      </c>
      <c r="N47" s="181">
        <v>69.599999999999994</v>
      </c>
      <c r="O47" s="181">
        <v>98.8</v>
      </c>
      <c r="P47" s="181">
        <f t="shared" si="6"/>
        <v>20.900000000000006</v>
      </c>
      <c r="Q47" s="181">
        <f t="shared" si="7"/>
        <v>8.2999999999999972</v>
      </c>
      <c r="R47" s="144">
        <v>0.9</v>
      </c>
      <c r="S47" s="144">
        <v>0.83</v>
      </c>
      <c r="T47" s="145">
        <v>0.01</v>
      </c>
      <c r="U47" t="str">
        <f t="shared" si="11"/>
        <v>RNS</v>
      </c>
      <c r="V47">
        <f t="shared" si="12"/>
        <v>3</v>
      </c>
      <c r="W47">
        <f t="shared" si="13"/>
        <v>2</v>
      </c>
      <c r="X47" s="46">
        <f>IF('Amputation Summary'!$Q$33=2,RANK(S47,S$8:S$76,1)+COUNTIF($S$8:S47,S47)-1,IF('Amputation Summary'!$Q$33=1,RANK(R47,R$8:R$76,1)+COUNTIF($R47:R47,R47)-1))</f>
        <v>39</v>
      </c>
      <c r="Y47" s="8">
        <f>IF( 'Amputation Summary'!$Q$33=2, S47, IF('Amputation Summary'!$Q$33=1,R47))</f>
        <v>0.9</v>
      </c>
      <c r="Z47" s="11">
        <v>4</v>
      </c>
      <c r="AA47">
        <v>2</v>
      </c>
      <c r="AB47">
        <f t="shared" si="8"/>
        <v>2</v>
      </c>
      <c r="AC47">
        <v>10</v>
      </c>
      <c r="AD47">
        <f t="shared" si="9"/>
        <v>6</v>
      </c>
      <c r="AE47">
        <v>12</v>
      </c>
      <c r="AF47" s="46">
        <f t="shared" si="10"/>
        <v>12</v>
      </c>
      <c r="AG47" s="11">
        <f>IF('Amputation Summary'!$O$4=2, M47, IF('Amputation Summary'!$O$4=1,Z47))</f>
        <v>4</v>
      </c>
      <c r="AH47" s="11">
        <f>IF('Amputation Summary'!$O$4=2, P47, IF('Amputation Summary'!$O$4=1,AB47))</f>
        <v>2</v>
      </c>
      <c r="AI47" s="11">
        <f>IF('Amputation Summary'!$O$4=2, Q47, IF('Amputation Summary'!$O$4=1,AD47))</f>
        <v>6</v>
      </c>
      <c r="AJ47">
        <v>1</v>
      </c>
      <c r="AK47" s="152">
        <f t="shared" si="14"/>
        <v>1.5500000000000003</v>
      </c>
      <c r="AL47" s="152">
        <f t="shared" si="15"/>
        <v>0.73999999999999988</v>
      </c>
      <c r="AM47">
        <v>49</v>
      </c>
    </row>
    <row r="48" spans="1:39" x14ac:dyDescent="0.25">
      <c r="A48" s="139" t="s">
        <v>622</v>
      </c>
      <c r="B48" s="139" t="s">
        <v>623</v>
      </c>
      <c r="C48" s="140">
        <v>61</v>
      </c>
      <c r="D48" s="140">
        <v>206</v>
      </c>
      <c r="E48" s="141" t="s">
        <v>225</v>
      </c>
      <c r="F48" s="145">
        <v>0.96226418018341064</v>
      </c>
      <c r="G48" s="141">
        <v>32</v>
      </c>
      <c r="H48" s="141">
        <v>29</v>
      </c>
      <c r="I48" s="142">
        <v>1.1000000000000001</v>
      </c>
      <c r="J48" s="142">
        <v>0.67</v>
      </c>
      <c r="K48" s="142">
        <v>1.82</v>
      </c>
      <c r="L48" s="141" t="s">
        <v>796</v>
      </c>
      <c r="M48" s="141">
        <v>96.2</v>
      </c>
      <c r="N48" s="181">
        <v>87</v>
      </c>
      <c r="O48" s="181">
        <v>99.5</v>
      </c>
      <c r="P48" s="181">
        <f t="shared" si="6"/>
        <v>9.2000000000000028</v>
      </c>
      <c r="Q48" s="181">
        <f t="shared" si="7"/>
        <v>3.2999999999999972</v>
      </c>
      <c r="R48" s="144">
        <v>0.87</v>
      </c>
      <c r="S48" s="144">
        <v>1</v>
      </c>
      <c r="T48" s="145">
        <v>0.10299999999999999</v>
      </c>
      <c r="U48" t="str">
        <f t="shared" si="11"/>
        <v>RM3</v>
      </c>
      <c r="V48">
        <f t="shared" si="12"/>
        <v>3</v>
      </c>
      <c r="W48">
        <f t="shared" si="13"/>
        <v>4</v>
      </c>
      <c r="X48" s="46">
        <f>IF('Amputation Summary'!$Q$33=2,RANK(S48,S$8:S$76,1)+COUNTIF($S$8:S48,S48)-1,IF('Amputation Summary'!$Q$33=1,RANK(R48,R$8:R$76,1)+COUNTIF($R48:R48,R48)-1))</f>
        <v>35</v>
      </c>
      <c r="Y48" s="8">
        <f>IF( 'Amputation Summary'!$Q$33=2, S48, IF('Amputation Summary'!$Q$33=1,R48))</f>
        <v>0.87</v>
      </c>
      <c r="Z48" s="11">
        <v>2</v>
      </c>
      <c r="AA48">
        <v>1</v>
      </c>
      <c r="AB48">
        <f t="shared" si="8"/>
        <v>1</v>
      </c>
      <c r="AC48">
        <v>7</v>
      </c>
      <c r="AD48">
        <f t="shared" si="9"/>
        <v>5</v>
      </c>
      <c r="AE48">
        <v>2</v>
      </c>
      <c r="AF48" s="46">
        <f t="shared" si="10"/>
        <v>2</v>
      </c>
      <c r="AG48" s="11">
        <f>IF('Amputation Summary'!$O$4=2, M48, IF('Amputation Summary'!$O$4=1,Z48))</f>
        <v>2</v>
      </c>
      <c r="AH48" s="11">
        <f>IF('Amputation Summary'!$O$4=2, P48, IF('Amputation Summary'!$O$4=1,AB48))</f>
        <v>1</v>
      </c>
      <c r="AI48" s="11">
        <f>IF('Amputation Summary'!$O$4=2, Q48, IF('Amputation Summary'!$O$4=1,AD48))</f>
        <v>5</v>
      </c>
      <c r="AJ48">
        <v>1</v>
      </c>
      <c r="AK48" s="152">
        <f t="shared" si="14"/>
        <v>0.72</v>
      </c>
      <c r="AL48" s="152">
        <f t="shared" si="15"/>
        <v>0.43000000000000005</v>
      </c>
      <c r="AM48">
        <v>35</v>
      </c>
    </row>
    <row r="49" spans="1:39" x14ac:dyDescent="0.25">
      <c r="A49" s="139" t="s">
        <v>119</v>
      </c>
      <c r="B49" s="139" t="s">
        <v>120</v>
      </c>
      <c r="C49" s="140">
        <v>86</v>
      </c>
      <c r="D49" s="140">
        <v>221</v>
      </c>
      <c r="E49" s="141" t="s">
        <v>770</v>
      </c>
      <c r="F49" s="145">
        <v>0.8644067645072937</v>
      </c>
      <c r="G49" s="141">
        <v>23</v>
      </c>
      <c r="H49" s="141">
        <v>63</v>
      </c>
      <c r="I49" s="142">
        <v>0.37</v>
      </c>
      <c r="J49" s="142">
        <v>0.23</v>
      </c>
      <c r="K49" s="142">
        <v>0.59</v>
      </c>
      <c r="L49" s="141" t="s">
        <v>821</v>
      </c>
      <c r="M49" s="141">
        <v>86.4</v>
      </c>
      <c r="N49" s="181">
        <v>75</v>
      </c>
      <c r="O49" s="181">
        <v>94</v>
      </c>
      <c r="P49" s="181">
        <f t="shared" si="6"/>
        <v>11.400000000000006</v>
      </c>
      <c r="Q49" s="181">
        <f t="shared" si="7"/>
        <v>7.5999999999999943</v>
      </c>
      <c r="R49" s="144">
        <v>0.4</v>
      </c>
      <c r="S49" s="144">
        <v>0.53</v>
      </c>
      <c r="T49" s="145">
        <v>8.5000000000000006E-2</v>
      </c>
      <c r="U49" t="str">
        <f t="shared" si="11"/>
        <v>RX1</v>
      </c>
      <c r="V49">
        <f t="shared" si="12"/>
        <v>1</v>
      </c>
      <c r="W49">
        <f t="shared" si="13"/>
        <v>1</v>
      </c>
      <c r="X49" s="46">
        <f>IF('Amputation Summary'!$Q$33=2,RANK(S49,S$8:S$76,1)+COUNTIF($S$8:S49,S49)-1,IF('Amputation Summary'!$Q$33=1,RANK(R49,R$8:R$76,1)+COUNTIF($R49:R49,R49)-1))</f>
        <v>7</v>
      </c>
      <c r="Y49" s="8">
        <f>IF( 'Amputation Summary'!$Q$33=2, S49, IF('Amputation Summary'!$Q$33=1,R49))</f>
        <v>0.4</v>
      </c>
      <c r="Z49" s="11">
        <v>8</v>
      </c>
      <c r="AA49">
        <v>5</v>
      </c>
      <c r="AB49">
        <f t="shared" si="8"/>
        <v>3</v>
      </c>
      <c r="AC49">
        <v>19</v>
      </c>
      <c r="AD49">
        <f t="shared" si="9"/>
        <v>11</v>
      </c>
      <c r="AE49">
        <v>43</v>
      </c>
      <c r="AF49" s="46">
        <f t="shared" si="10"/>
        <v>43</v>
      </c>
      <c r="AG49" s="11">
        <f>IF('Amputation Summary'!$O$4=2, M49, IF('Amputation Summary'!$O$4=1,Z49))</f>
        <v>8</v>
      </c>
      <c r="AH49" s="11">
        <f>IF('Amputation Summary'!$O$4=2, P49, IF('Amputation Summary'!$O$4=1,AB49))</f>
        <v>3</v>
      </c>
      <c r="AI49" s="11">
        <f>IF('Amputation Summary'!$O$4=2, Q49, IF('Amputation Summary'!$O$4=1,AD49))</f>
        <v>11</v>
      </c>
      <c r="AJ49">
        <v>1</v>
      </c>
      <c r="AK49" s="152">
        <f t="shared" si="14"/>
        <v>0.21999999999999997</v>
      </c>
      <c r="AL49" s="152">
        <f t="shared" si="15"/>
        <v>0.13999999999999999</v>
      </c>
      <c r="AM49">
        <v>2</v>
      </c>
    </row>
    <row r="50" spans="1:39" x14ac:dyDescent="0.25">
      <c r="A50" s="139" t="s">
        <v>96</v>
      </c>
      <c r="B50" s="139" t="s">
        <v>360</v>
      </c>
      <c r="C50" s="140">
        <v>20</v>
      </c>
      <c r="D50" s="140">
        <v>109</v>
      </c>
      <c r="E50" s="141" t="s">
        <v>771</v>
      </c>
      <c r="F50" s="145">
        <v>1</v>
      </c>
      <c r="G50" s="141">
        <v>12</v>
      </c>
      <c r="H50" s="141">
        <v>8</v>
      </c>
      <c r="I50" s="142">
        <v>1.5</v>
      </c>
      <c r="J50" s="142">
        <v>0.61</v>
      </c>
      <c r="K50" s="142">
        <v>3.67</v>
      </c>
      <c r="L50" s="141" t="s">
        <v>822</v>
      </c>
      <c r="M50" s="141">
        <v>100</v>
      </c>
      <c r="N50" s="181">
        <v>79.400000000000006</v>
      </c>
      <c r="O50" s="181">
        <v>100</v>
      </c>
      <c r="P50" s="181">
        <f t="shared" si="6"/>
        <v>20.599999999999994</v>
      </c>
      <c r="Q50" s="181">
        <f t="shared" si="7"/>
        <v>0</v>
      </c>
      <c r="R50" s="144">
        <v>1</v>
      </c>
      <c r="S50" s="144">
        <v>0.95</v>
      </c>
      <c r="T50" s="145">
        <v>0.06</v>
      </c>
      <c r="U50" t="str">
        <f t="shared" si="11"/>
        <v>RTH</v>
      </c>
      <c r="V50">
        <f t="shared" si="12"/>
        <v>4</v>
      </c>
      <c r="W50">
        <f t="shared" si="13"/>
        <v>3</v>
      </c>
      <c r="X50" s="46">
        <f>IF('Amputation Summary'!$Q$33=2,RANK(S50,S$8:S$76,1)+COUNTIF($S$8:S50,S50)-1,IF('Amputation Summary'!$Q$33=1,RANK(R50,R$8:R$76,1)+COUNTIF($R50:R50,R50)-1))</f>
        <v>57</v>
      </c>
      <c r="Y50" s="8">
        <f>IF( 'Amputation Summary'!$Q$33=2, S50, IF('Amputation Summary'!$Q$33=1,R50))</f>
        <v>1</v>
      </c>
      <c r="Z50" s="11">
        <v>9</v>
      </c>
      <c r="AA50">
        <v>4</v>
      </c>
      <c r="AB50">
        <f t="shared" si="8"/>
        <v>5</v>
      </c>
      <c r="AC50">
        <v>20</v>
      </c>
      <c r="AD50">
        <f t="shared" si="9"/>
        <v>11</v>
      </c>
      <c r="AE50">
        <v>50</v>
      </c>
      <c r="AF50" s="46">
        <f t="shared" si="10"/>
        <v>50</v>
      </c>
      <c r="AG50" s="11">
        <f>IF('Amputation Summary'!$O$4=2, M50, IF('Amputation Summary'!$O$4=1,Z50))</f>
        <v>9</v>
      </c>
      <c r="AH50" s="11">
        <f>IF('Amputation Summary'!$O$4=2, P50, IF('Amputation Summary'!$O$4=1,AB50))</f>
        <v>5</v>
      </c>
      <c r="AI50" s="11">
        <f>IF('Amputation Summary'!$O$4=2, Q50, IF('Amputation Summary'!$O$4=1,AD50))</f>
        <v>11</v>
      </c>
      <c r="AJ50">
        <v>1</v>
      </c>
      <c r="AK50" s="152">
        <f t="shared" si="14"/>
        <v>2.17</v>
      </c>
      <c r="AL50" s="152">
        <f t="shared" si="15"/>
        <v>0.89</v>
      </c>
      <c r="AM50">
        <v>50</v>
      </c>
    </row>
    <row r="51" spans="1:39" x14ac:dyDescent="0.25">
      <c r="A51" s="139" t="s">
        <v>79</v>
      </c>
      <c r="B51" s="139" t="s">
        <v>80</v>
      </c>
      <c r="C51" s="140">
        <v>1</v>
      </c>
      <c r="D51" s="140">
        <v>14</v>
      </c>
      <c r="E51" s="141" t="s">
        <v>284</v>
      </c>
      <c r="F51" s="145" t="s">
        <v>284</v>
      </c>
      <c r="G51" s="141" t="s">
        <v>284</v>
      </c>
      <c r="H51" s="141" t="s">
        <v>284</v>
      </c>
      <c r="I51" s="142" t="s">
        <v>284</v>
      </c>
      <c r="J51" s="142">
        <v>0</v>
      </c>
      <c r="K51" s="142">
        <v>7.5</v>
      </c>
      <c r="L51" s="141" t="s">
        <v>284</v>
      </c>
      <c r="M51" s="141" t="e">
        <v>#VALUE!</v>
      </c>
      <c r="N51" s="181">
        <v>2.5</v>
      </c>
      <c r="O51" s="181">
        <v>100</v>
      </c>
      <c r="P51" s="181" t="e">
        <f t="shared" si="6"/>
        <v>#VALUE!</v>
      </c>
      <c r="Q51" s="181" t="e">
        <f t="shared" si="7"/>
        <v>#VALUE!</v>
      </c>
      <c r="R51" s="141" t="s">
        <v>284</v>
      </c>
      <c r="S51" s="141" t="s">
        <v>284</v>
      </c>
      <c r="T51" s="145">
        <v>0.24199999999999999</v>
      </c>
      <c r="U51" t="str">
        <f t="shared" si="11"/>
        <v>RQW</v>
      </c>
      <c r="V51">
        <f t="shared" si="12"/>
        <v>4</v>
      </c>
      <c r="W51">
        <f t="shared" si="13"/>
        <v>4</v>
      </c>
      <c r="X51" s="46" t="e">
        <f>IF('Amputation Summary'!$Q$33=2,RANK(S51,S$8:S$76,1)+COUNTIF($S$8:S51,S51)-1,IF('Amputation Summary'!$Q$33=1,RANK(R51,R$8:R$76,1)+COUNTIF($R51:R51,R51)-1))</f>
        <v>#VALUE!</v>
      </c>
      <c r="Y51" s="8" t="str">
        <f>IF( 'Amputation Summary'!$Q$33=2, S51, IF('Amputation Summary'!$Q$33=1,R51))</f>
        <v>xx</v>
      </c>
      <c r="Z51" s="11" t="s">
        <v>284</v>
      </c>
      <c r="AA51" t="e">
        <v>#VALUE!</v>
      </c>
      <c r="AB51" t="e">
        <f t="shared" si="8"/>
        <v>#VALUE!</v>
      </c>
      <c r="AC51" t="e">
        <v>#VALUE!</v>
      </c>
      <c r="AD51" t="e">
        <f t="shared" si="9"/>
        <v>#VALUE!</v>
      </c>
      <c r="AE51">
        <v>68</v>
      </c>
      <c r="AF51" s="46">
        <f t="shared" si="10"/>
        <v>68</v>
      </c>
      <c r="AG51" s="11" t="str">
        <f>IF('Amputation Summary'!$O$4=2, M51, IF('Amputation Summary'!$O$4=1,Z51))</f>
        <v>xx</v>
      </c>
      <c r="AH51" s="11" t="e">
        <f>IF('Amputation Summary'!$O$4=2, P51, IF('Amputation Summary'!$O$4=1,AB51))</f>
        <v>#VALUE!</v>
      </c>
      <c r="AI51" s="11" t="e">
        <f>IF('Amputation Summary'!$O$4=2, Q51, IF('Amputation Summary'!$O$4=1,AD51))</f>
        <v>#VALUE!</v>
      </c>
      <c r="AJ51">
        <v>1</v>
      </c>
      <c r="AK51" s="152" t="e">
        <f t="shared" si="14"/>
        <v>#VALUE!</v>
      </c>
      <c r="AL51" s="152" t="e">
        <f t="shared" si="15"/>
        <v>#VALUE!</v>
      </c>
      <c r="AM51">
        <v>68</v>
      </c>
    </row>
    <row r="52" spans="1:39" x14ac:dyDescent="0.25">
      <c r="A52" s="139" t="s">
        <v>32</v>
      </c>
      <c r="B52" s="139" t="s">
        <v>33</v>
      </c>
      <c r="C52" s="140">
        <v>35</v>
      </c>
      <c r="D52" s="140">
        <v>115</v>
      </c>
      <c r="E52" s="141" t="s">
        <v>175</v>
      </c>
      <c r="F52" s="145">
        <v>0.94736844301223755</v>
      </c>
      <c r="G52" s="141">
        <v>12</v>
      </c>
      <c r="H52" s="141">
        <v>23</v>
      </c>
      <c r="I52" s="142">
        <v>0.52</v>
      </c>
      <c r="J52" s="142">
        <v>0.26</v>
      </c>
      <c r="K52" s="142">
        <v>1.05</v>
      </c>
      <c r="L52" s="141" t="s">
        <v>537</v>
      </c>
      <c r="M52" s="141">
        <v>94.7</v>
      </c>
      <c r="N52" s="181">
        <v>74</v>
      </c>
      <c r="O52" s="181">
        <v>99.9</v>
      </c>
      <c r="P52" s="181">
        <f t="shared" si="6"/>
        <v>20.700000000000003</v>
      </c>
      <c r="Q52" s="181">
        <f t="shared" si="7"/>
        <v>5.2000000000000028</v>
      </c>
      <c r="R52" s="144">
        <v>0.8</v>
      </c>
      <c r="S52" s="144">
        <v>0.91</v>
      </c>
      <c r="T52" s="145">
        <v>3.4000000000000002E-2</v>
      </c>
      <c r="U52" t="str">
        <f t="shared" si="11"/>
        <v>REF</v>
      </c>
      <c r="V52">
        <f t="shared" si="12"/>
        <v>2</v>
      </c>
      <c r="W52">
        <f t="shared" si="13"/>
        <v>3</v>
      </c>
      <c r="X52" s="46">
        <f>IF('Amputation Summary'!$Q$33=2,RANK(S52,S$8:S$76,1)+COUNTIF($S$8:S52,S52)-1,IF('Amputation Summary'!$Q$33=1,RANK(R52,R$8:R$76,1)+COUNTIF($R52:R52,R52)-1))</f>
        <v>24</v>
      </c>
      <c r="Y52" s="8">
        <f>IF( 'Amputation Summary'!$Q$33=2, S52, IF('Amputation Summary'!$Q$33=1,R52))</f>
        <v>0.8</v>
      </c>
      <c r="Z52" s="11">
        <v>5</v>
      </c>
      <c r="AA52">
        <v>3</v>
      </c>
      <c r="AB52">
        <f t="shared" si="8"/>
        <v>2</v>
      </c>
      <c r="AC52">
        <v>8</v>
      </c>
      <c r="AD52">
        <f t="shared" si="9"/>
        <v>3</v>
      </c>
      <c r="AE52">
        <v>19</v>
      </c>
      <c r="AF52" s="46">
        <f t="shared" si="10"/>
        <v>19</v>
      </c>
      <c r="AG52" s="11">
        <f>IF('Amputation Summary'!$O$4=2, M52, IF('Amputation Summary'!$O$4=1,Z52))</f>
        <v>5</v>
      </c>
      <c r="AH52" s="11">
        <f>IF('Amputation Summary'!$O$4=2, P52, IF('Amputation Summary'!$O$4=1,AB52))</f>
        <v>2</v>
      </c>
      <c r="AI52" s="11">
        <f>IF('Amputation Summary'!$O$4=2, Q52, IF('Amputation Summary'!$O$4=1,AD52))</f>
        <v>3</v>
      </c>
      <c r="AJ52">
        <v>1</v>
      </c>
      <c r="AK52" s="152">
        <f t="shared" si="14"/>
        <v>0.53</v>
      </c>
      <c r="AL52" s="152">
        <f t="shared" si="15"/>
        <v>0.26</v>
      </c>
      <c r="AM52">
        <v>7</v>
      </c>
    </row>
    <row r="53" spans="1:39" x14ac:dyDescent="0.25">
      <c r="A53" s="139" t="s">
        <v>42</v>
      </c>
      <c r="B53" s="139" t="s">
        <v>43</v>
      </c>
      <c r="C53" s="140">
        <v>33</v>
      </c>
      <c r="D53" s="140">
        <v>113</v>
      </c>
      <c r="E53" s="141" t="s">
        <v>553</v>
      </c>
      <c r="F53" s="145">
        <v>0.91304349899291992</v>
      </c>
      <c r="G53" s="141">
        <v>15</v>
      </c>
      <c r="H53" s="141">
        <v>18</v>
      </c>
      <c r="I53" s="142">
        <v>0.83</v>
      </c>
      <c r="J53" s="142">
        <v>0.42</v>
      </c>
      <c r="K53" s="142">
        <v>1.65</v>
      </c>
      <c r="L53" s="141" t="s">
        <v>823</v>
      </c>
      <c r="M53" s="141">
        <v>91.3</v>
      </c>
      <c r="N53" s="181">
        <v>72</v>
      </c>
      <c r="O53" s="181">
        <v>98.9</v>
      </c>
      <c r="P53" s="181">
        <f t="shared" si="6"/>
        <v>19.299999999999997</v>
      </c>
      <c r="Q53" s="181">
        <f t="shared" si="7"/>
        <v>7.6000000000000085</v>
      </c>
      <c r="R53" s="144">
        <v>0.94</v>
      </c>
      <c r="S53" s="144">
        <v>1</v>
      </c>
      <c r="T53" s="145">
        <v>5.0999999999999997E-2</v>
      </c>
      <c r="U53" t="str">
        <f t="shared" si="11"/>
        <v>RH8</v>
      </c>
      <c r="V53">
        <f t="shared" si="12"/>
        <v>4</v>
      </c>
      <c r="W53">
        <f t="shared" si="13"/>
        <v>4</v>
      </c>
      <c r="X53" s="46">
        <f>IF('Amputation Summary'!$Q$33=2,RANK(S53,S$8:S$76,1)+COUNTIF($S$8:S53,S53)-1,IF('Amputation Summary'!$Q$33=1,RANK(R53,R$8:R$76,1)+COUNTIF($R53:R53,R53)-1))</f>
        <v>50</v>
      </c>
      <c r="Y53" s="8">
        <f>IF( 'Amputation Summary'!$Q$33=2, S53, IF('Amputation Summary'!$Q$33=1,R53))</f>
        <v>0.94</v>
      </c>
      <c r="Z53" s="11">
        <v>7</v>
      </c>
      <c r="AA53">
        <v>2</v>
      </c>
      <c r="AB53">
        <f t="shared" si="8"/>
        <v>5</v>
      </c>
      <c r="AC53">
        <v>10</v>
      </c>
      <c r="AD53">
        <f t="shared" si="9"/>
        <v>3</v>
      </c>
      <c r="AE53">
        <v>31</v>
      </c>
      <c r="AF53" s="46">
        <f t="shared" si="10"/>
        <v>31</v>
      </c>
      <c r="AG53" s="11">
        <f>IF('Amputation Summary'!$O$4=2, M53, IF('Amputation Summary'!$O$4=1,Z53))</f>
        <v>7</v>
      </c>
      <c r="AH53" s="11">
        <f>IF('Amputation Summary'!$O$4=2, P53, IF('Amputation Summary'!$O$4=1,AB53))</f>
        <v>5</v>
      </c>
      <c r="AI53" s="11">
        <f>IF('Amputation Summary'!$O$4=2, Q53, IF('Amputation Summary'!$O$4=1,AD53))</f>
        <v>3</v>
      </c>
      <c r="AJ53">
        <v>1</v>
      </c>
      <c r="AK53" s="152">
        <f t="shared" si="14"/>
        <v>0.82</v>
      </c>
      <c r="AL53" s="152">
        <f t="shared" si="15"/>
        <v>0.41</v>
      </c>
      <c r="AM53">
        <v>23</v>
      </c>
    </row>
    <row r="54" spans="1:39" x14ac:dyDescent="0.25">
      <c r="A54" s="139" t="s">
        <v>19</v>
      </c>
      <c r="B54" s="139" t="s">
        <v>20</v>
      </c>
      <c r="C54" s="140">
        <v>8</v>
      </c>
      <c r="D54" s="140">
        <v>116</v>
      </c>
      <c r="E54" s="141" t="s">
        <v>772</v>
      </c>
      <c r="F54" s="145">
        <v>1</v>
      </c>
      <c r="G54" s="141">
        <v>6</v>
      </c>
      <c r="H54" s="141">
        <v>2</v>
      </c>
      <c r="I54" s="142">
        <v>3</v>
      </c>
      <c r="J54" s="142">
        <v>0.61</v>
      </c>
      <c r="K54" s="142">
        <v>7.5</v>
      </c>
      <c r="L54" s="141" t="s">
        <v>824</v>
      </c>
      <c r="M54" s="141">
        <v>100</v>
      </c>
      <c r="N54" s="181">
        <v>47.8</v>
      </c>
      <c r="O54" s="181">
        <v>100</v>
      </c>
      <c r="P54" s="181">
        <f t="shared" si="6"/>
        <v>52.2</v>
      </c>
      <c r="Q54" s="181">
        <f t="shared" si="7"/>
        <v>0</v>
      </c>
      <c r="R54" s="144">
        <v>1</v>
      </c>
      <c r="S54" s="144">
        <v>0.88</v>
      </c>
      <c r="T54" s="145">
        <v>0.08</v>
      </c>
      <c r="U54" t="str">
        <f t="shared" si="11"/>
        <v>RAL</v>
      </c>
      <c r="V54">
        <f t="shared" si="12"/>
        <v>4</v>
      </c>
      <c r="W54">
        <f t="shared" si="13"/>
        <v>2</v>
      </c>
      <c r="X54" s="46">
        <f>IF('Amputation Summary'!$Q$33=2,RANK(S54,S$8:S$76,1)+COUNTIF($S$8:S54,S54)-1,IF('Amputation Summary'!$Q$33=1,RANK(R54,R$8:R$76,1)+COUNTIF($R54:R54,R54)-1))</f>
        <v>57</v>
      </c>
      <c r="Y54" s="8">
        <f>IF( 'Amputation Summary'!$Q$33=2, S54, IF('Amputation Summary'!$Q$33=1,R54))</f>
        <v>1</v>
      </c>
      <c r="Z54" s="11">
        <v>2</v>
      </c>
      <c r="AA54">
        <v>2</v>
      </c>
      <c r="AB54">
        <f t="shared" si="8"/>
        <v>0</v>
      </c>
      <c r="AC54">
        <v>15</v>
      </c>
      <c r="AD54">
        <f t="shared" si="9"/>
        <v>13</v>
      </c>
      <c r="AE54">
        <v>4</v>
      </c>
      <c r="AF54" s="46">
        <f t="shared" si="10"/>
        <v>4</v>
      </c>
      <c r="AG54" s="11">
        <f>IF('Amputation Summary'!$O$4=2, M54, IF('Amputation Summary'!$O$4=1,Z54))</f>
        <v>2</v>
      </c>
      <c r="AH54" s="11">
        <f>IF('Amputation Summary'!$O$4=2, P54, IF('Amputation Summary'!$O$4=1,AB54))</f>
        <v>0</v>
      </c>
      <c r="AI54" s="11">
        <f>IF('Amputation Summary'!$O$4=2, Q54, IF('Amputation Summary'!$O$4=1,AD54))</f>
        <v>13</v>
      </c>
      <c r="AJ54">
        <v>1</v>
      </c>
      <c r="AK54" s="152">
        <f t="shared" si="14"/>
        <v>4.5</v>
      </c>
      <c r="AL54" s="152">
        <f t="shared" si="15"/>
        <v>2.39</v>
      </c>
      <c r="AM54">
        <v>65</v>
      </c>
    </row>
    <row r="55" spans="1:39" x14ac:dyDescent="0.25">
      <c r="A55" s="139" t="s">
        <v>46</v>
      </c>
      <c r="B55" s="139" t="s">
        <v>47</v>
      </c>
      <c r="C55" s="140">
        <v>22</v>
      </c>
      <c r="D55" s="140">
        <v>50</v>
      </c>
      <c r="E55" s="141" t="s">
        <v>773</v>
      </c>
      <c r="F55" s="145">
        <v>0.93333333730697632</v>
      </c>
      <c r="G55" s="141">
        <v>12</v>
      </c>
      <c r="H55" s="141">
        <v>10</v>
      </c>
      <c r="I55" s="142">
        <v>1.2</v>
      </c>
      <c r="J55" s="142">
        <v>0.52</v>
      </c>
      <c r="K55" s="142">
        <v>2.78</v>
      </c>
      <c r="L55" s="141" t="s">
        <v>825</v>
      </c>
      <c r="M55" s="141">
        <v>93.3</v>
      </c>
      <c r="N55" s="181">
        <v>68.099999999999994</v>
      </c>
      <c r="O55" s="181">
        <v>99.8</v>
      </c>
      <c r="P55" s="181">
        <f t="shared" si="6"/>
        <v>25.200000000000003</v>
      </c>
      <c r="Q55" s="181">
        <f t="shared" si="7"/>
        <v>6.5</v>
      </c>
      <c r="R55" s="144">
        <v>0.86</v>
      </c>
      <c r="S55" s="144">
        <v>0.95</v>
      </c>
      <c r="T55" s="145">
        <v>2.5000000000000001E-2</v>
      </c>
      <c r="U55" t="str">
        <f t="shared" si="11"/>
        <v>RHQ</v>
      </c>
      <c r="V55">
        <f t="shared" si="12"/>
        <v>3</v>
      </c>
      <c r="W55">
        <f t="shared" si="13"/>
        <v>3</v>
      </c>
      <c r="X55" s="46">
        <f>IF('Amputation Summary'!$Q$33=2,RANK(S55,S$8:S$76,1)+COUNTIF($S$8:S55,S55)-1,IF('Amputation Summary'!$Q$33=1,RANK(R55,R$8:R$76,1)+COUNTIF($R55:R55,R55)-1))</f>
        <v>31</v>
      </c>
      <c r="Y55" s="8">
        <f>IF( 'Amputation Summary'!$Q$33=2, S55, IF('Amputation Summary'!$Q$33=1,R55))</f>
        <v>0.86</v>
      </c>
      <c r="Z55" s="11">
        <v>14</v>
      </c>
      <c r="AA55">
        <v>4</v>
      </c>
      <c r="AB55">
        <f t="shared" si="8"/>
        <v>10</v>
      </c>
      <c r="AC55">
        <v>20</v>
      </c>
      <c r="AD55">
        <f t="shared" si="9"/>
        <v>6</v>
      </c>
      <c r="AE55">
        <v>62</v>
      </c>
      <c r="AF55" s="46">
        <f t="shared" si="10"/>
        <v>62</v>
      </c>
      <c r="AG55" s="11">
        <f>IF('Amputation Summary'!$O$4=2, M55, IF('Amputation Summary'!$O$4=1,Z55))</f>
        <v>14</v>
      </c>
      <c r="AH55" s="11">
        <f>IF('Amputation Summary'!$O$4=2, P55, IF('Amputation Summary'!$O$4=1,AB55))</f>
        <v>10</v>
      </c>
      <c r="AI55" s="11">
        <f>IF('Amputation Summary'!$O$4=2, Q55, IF('Amputation Summary'!$O$4=1,AD55))</f>
        <v>6</v>
      </c>
      <c r="AJ55">
        <v>1</v>
      </c>
      <c r="AK55" s="152">
        <f t="shared" si="14"/>
        <v>1.5799999999999998</v>
      </c>
      <c r="AL55" s="152">
        <f t="shared" si="15"/>
        <v>0.67999999999999994</v>
      </c>
      <c r="AM55">
        <v>42</v>
      </c>
    </row>
    <row r="56" spans="1:39" x14ac:dyDescent="0.25">
      <c r="A56" s="139" t="s">
        <v>127</v>
      </c>
      <c r="B56" s="139" t="s">
        <v>128</v>
      </c>
      <c r="C56" s="140">
        <v>45</v>
      </c>
      <c r="D56" s="140">
        <v>115</v>
      </c>
      <c r="E56" s="141" t="s">
        <v>185</v>
      </c>
      <c r="F56" s="145">
        <v>0.93103450536727905</v>
      </c>
      <c r="G56" s="141">
        <v>27</v>
      </c>
      <c r="H56" s="141">
        <v>18</v>
      </c>
      <c r="I56" s="142">
        <v>1.5</v>
      </c>
      <c r="J56" s="142">
        <v>0.83</v>
      </c>
      <c r="K56" s="142">
        <v>2.72</v>
      </c>
      <c r="L56" s="141" t="s">
        <v>789</v>
      </c>
      <c r="M56" s="141">
        <v>93.1</v>
      </c>
      <c r="N56" s="181">
        <v>77.2</v>
      </c>
      <c r="O56" s="181">
        <v>99.2</v>
      </c>
      <c r="P56" s="181">
        <f t="shared" si="6"/>
        <v>15.899999999999991</v>
      </c>
      <c r="Q56" s="181">
        <f t="shared" si="7"/>
        <v>6.1000000000000085</v>
      </c>
      <c r="R56" s="144">
        <v>0.96</v>
      </c>
      <c r="S56" s="144">
        <v>0.98</v>
      </c>
      <c r="T56" s="145">
        <v>5.1999999999999998E-2</v>
      </c>
      <c r="U56" t="str">
        <f t="shared" si="11"/>
        <v>RXW</v>
      </c>
      <c r="V56">
        <f t="shared" si="12"/>
        <v>4</v>
      </c>
      <c r="W56">
        <f t="shared" si="13"/>
        <v>4</v>
      </c>
      <c r="X56" s="46">
        <f>IF('Amputation Summary'!$Q$33=2,RANK(S56,S$8:S$76,1)+COUNTIF($S$8:S56,S56)-1,IF('Amputation Summary'!$Q$33=1,RANK(R56,R$8:R$76,1)+COUNTIF($R56:R56,R56)-1))</f>
        <v>51</v>
      </c>
      <c r="Y56" s="8">
        <f>IF( 'Amputation Summary'!$Q$33=2, S56, IF('Amputation Summary'!$Q$33=1,R56))</f>
        <v>0.96</v>
      </c>
      <c r="Z56" s="11">
        <v>3</v>
      </c>
      <c r="AA56">
        <v>1</v>
      </c>
      <c r="AB56">
        <f t="shared" si="8"/>
        <v>2</v>
      </c>
      <c r="AC56">
        <v>9</v>
      </c>
      <c r="AD56">
        <f t="shared" si="9"/>
        <v>6</v>
      </c>
      <c r="AE56">
        <v>6</v>
      </c>
      <c r="AF56" s="46">
        <f t="shared" si="10"/>
        <v>6</v>
      </c>
      <c r="AG56" s="11">
        <f>IF('Amputation Summary'!$O$4=2, M56, IF('Amputation Summary'!$O$4=1,Z56))</f>
        <v>3</v>
      </c>
      <c r="AH56" s="11">
        <f>IF('Amputation Summary'!$O$4=2, P56, IF('Amputation Summary'!$O$4=1,AB56))</f>
        <v>2</v>
      </c>
      <c r="AI56" s="11">
        <f>IF('Amputation Summary'!$O$4=2, Q56, IF('Amputation Summary'!$O$4=1,AD56))</f>
        <v>6</v>
      </c>
      <c r="AJ56">
        <v>1</v>
      </c>
      <c r="AK56" s="152">
        <f t="shared" si="14"/>
        <v>1.2200000000000002</v>
      </c>
      <c r="AL56" s="152">
        <f t="shared" si="15"/>
        <v>0.67</v>
      </c>
      <c r="AM56">
        <v>51</v>
      </c>
    </row>
    <row r="57" spans="1:39" x14ac:dyDescent="0.25">
      <c r="A57" s="139" t="s">
        <v>513</v>
      </c>
      <c r="B57" s="139" t="s">
        <v>514</v>
      </c>
      <c r="C57" s="140">
        <v>26</v>
      </c>
      <c r="D57" s="140">
        <v>67</v>
      </c>
      <c r="E57" s="141" t="s">
        <v>278</v>
      </c>
      <c r="F57" s="145">
        <v>0.88235294818878174</v>
      </c>
      <c r="G57" s="141">
        <v>11</v>
      </c>
      <c r="H57" s="141">
        <v>15</v>
      </c>
      <c r="I57" s="142">
        <v>0.73</v>
      </c>
      <c r="J57" s="142">
        <v>0.34</v>
      </c>
      <c r="K57" s="142">
        <v>1.6</v>
      </c>
      <c r="L57" s="141" t="s">
        <v>826</v>
      </c>
      <c r="M57" s="141">
        <v>88.2</v>
      </c>
      <c r="N57" s="181">
        <v>63.6</v>
      </c>
      <c r="O57" s="181">
        <v>98.5</v>
      </c>
      <c r="P57" s="181">
        <f t="shared" si="6"/>
        <v>24.6</v>
      </c>
      <c r="Q57" s="181">
        <f t="shared" si="7"/>
        <v>10.299999999999997</v>
      </c>
      <c r="R57" s="144">
        <v>0.96</v>
      </c>
      <c r="S57" s="144">
        <v>1</v>
      </c>
      <c r="T57" s="145">
        <v>5.7000000000000002E-2</v>
      </c>
      <c r="U57" t="str">
        <f t="shared" si="11"/>
        <v>RH5</v>
      </c>
      <c r="V57">
        <f t="shared" si="12"/>
        <v>4</v>
      </c>
      <c r="W57">
        <f t="shared" si="13"/>
        <v>4</v>
      </c>
      <c r="X57" s="46">
        <f>IF('Amputation Summary'!$Q$33=2,RANK(S57,S$8:S$76,1)+COUNTIF($S$8:S57,S57)-1,IF('Amputation Summary'!$Q$33=1,RANK(R57,R$8:R$76,1)+COUNTIF($R57:R57,R57)-1))</f>
        <v>51</v>
      </c>
      <c r="Y57" s="8">
        <f>IF( 'Amputation Summary'!$Q$33=2, S57, IF('Amputation Summary'!$Q$33=1,R57))</f>
        <v>0.96</v>
      </c>
      <c r="Z57" s="11">
        <v>8</v>
      </c>
      <c r="AA57">
        <v>6</v>
      </c>
      <c r="AB57">
        <f t="shared" si="8"/>
        <v>2</v>
      </c>
      <c r="AC57">
        <v>13</v>
      </c>
      <c r="AD57">
        <f t="shared" si="9"/>
        <v>5</v>
      </c>
      <c r="AE57">
        <v>44</v>
      </c>
      <c r="AF57" s="46">
        <f t="shared" si="10"/>
        <v>44</v>
      </c>
      <c r="AG57" s="11">
        <f>IF('Amputation Summary'!$O$4=2, M57, IF('Amputation Summary'!$O$4=1,Z57))</f>
        <v>8</v>
      </c>
      <c r="AH57" s="11">
        <f>IF('Amputation Summary'!$O$4=2, P57, IF('Amputation Summary'!$O$4=1,AB57))</f>
        <v>2</v>
      </c>
      <c r="AI57" s="11">
        <f>IF('Amputation Summary'!$O$4=2, Q57, IF('Amputation Summary'!$O$4=1,AD57))</f>
        <v>5</v>
      </c>
      <c r="AJ57">
        <v>1</v>
      </c>
      <c r="AK57" s="152">
        <f t="shared" si="14"/>
        <v>0.87000000000000011</v>
      </c>
      <c r="AL57" s="152">
        <f t="shared" si="15"/>
        <v>0.38999999999999996</v>
      </c>
      <c r="AM57">
        <v>17</v>
      </c>
    </row>
    <row r="58" spans="1:39" x14ac:dyDescent="0.25">
      <c r="A58" s="139" t="s">
        <v>98</v>
      </c>
      <c r="B58" s="139" t="s">
        <v>99</v>
      </c>
      <c r="C58" s="140">
        <v>54</v>
      </c>
      <c r="D58" s="140">
        <v>198</v>
      </c>
      <c r="E58" s="141" t="s">
        <v>774</v>
      </c>
      <c r="F58" s="145">
        <v>0.94736844301223755</v>
      </c>
      <c r="G58" s="141">
        <v>30</v>
      </c>
      <c r="H58" s="141">
        <v>24</v>
      </c>
      <c r="I58" s="142">
        <v>1.25</v>
      </c>
      <c r="J58" s="142">
        <v>0.73</v>
      </c>
      <c r="K58" s="142">
        <v>2.14</v>
      </c>
      <c r="L58" s="141" t="s">
        <v>554</v>
      </c>
      <c r="M58" s="141">
        <v>94.7</v>
      </c>
      <c r="N58" s="181">
        <v>82.3</v>
      </c>
      <c r="O58" s="181">
        <v>99.4</v>
      </c>
      <c r="P58" s="181">
        <f t="shared" si="6"/>
        <v>12.400000000000006</v>
      </c>
      <c r="Q58" s="181">
        <f t="shared" si="7"/>
        <v>4.7000000000000028</v>
      </c>
      <c r="R58" s="144">
        <v>0.85</v>
      </c>
      <c r="S58" s="144">
        <v>0.87</v>
      </c>
      <c r="T58" s="145">
        <v>2.3E-2</v>
      </c>
      <c r="U58" t="str">
        <f t="shared" si="11"/>
        <v>RTR</v>
      </c>
      <c r="V58">
        <f t="shared" si="12"/>
        <v>2</v>
      </c>
      <c r="W58">
        <f t="shared" si="13"/>
        <v>2</v>
      </c>
      <c r="X58" s="46">
        <f>IF('Amputation Summary'!$Q$33=2,RANK(S58,S$8:S$76,1)+COUNTIF($S$8:S58,S58)-1,IF('Amputation Summary'!$Q$33=1,RANK(R58,R$8:R$76,1)+COUNTIF($R58:R58,R58)-1))</f>
        <v>29</v>
      </c>
      <c r="Y58" s="8">
        <f>IF( 'Amputation Summary'!$Q$33=2, S58, IF('Amputation Summary'!$Q$33=1,R58))</f>
        <v>0.85</v>
      </c>
      <c r="Z58" s="11">
        <v>5</v>
      </c>
      <c r="AA58">
        <v>3</v>
      </c>
      <c r="AB58">
        <f t="shared" si="8"/>
        <v>2</v>
      </c>
      <c r="AC58">
        <v>17</v>
      </c>
      <c r="AD58">
        <f t="shared" si="9"/>
        <v>12</v>
      </c>
      <c r="AE58">
        <v>23</v>
      </c>
      <c r="AF58" s="46">
        <f t="shared" si="10"/>
        <v>23</v>
      </c>
      <c r="AG58" s="11">
        <f>IF('Amputation Summary'!$O$4=2, M58, IF('Amputation Summary'!$O$4=1,Z58))</f>
        <v>5</v>
      </c>
      <c r="AH58" s="11">
        <f>IF('Amputation Summary'!$O$4=2, P58, IF('Amputation Summary'!$O$4=1,AB58))</f>
        <v>2</v>
      </c>
      <c r="AI58" s="11">
        <f>IF('Amputation Summary'!$O$4=2, Q58, IF('Amputation Summary'!$O$4=1,AD58))</f>
        <v>12</v>
      </c>
      <c r="AJ58">
        <v>1</v>
      </c>
      <c r="AK58" s="152">
        <f t="shared" si="14"/>
        <v>0.89000000000000012</v>
      </c>
      <c r="AL58" s="152">
        <f t="shared" si="15"/>
        <v>0.52</v>
      </c>
      <c r="AM58">
        <v>44</v>
      </c>
    </row>
    <row r="59" spans="1:39" x14ac:dyDescent="0.25">
      <c r="A59" s="139" t="s">
        <v>498</v>
      </c>
      <c r="B59" s="139" t="s">
        <v>499</v>
      </c>
      <c r="C59" s="140">
        <v>76</v>
      </c>
      <c r="D59" s="140">
        <v>258</v>
      </c>
      <c r="E59" s="141" t="s">
        <v>555</v>
      </c>
      <c r="F59" s="145">
        <v>0.87719297409057617</v>
      </c>
      <c r="G59" s="141">
        <v>34</v>
      </c>
      <c r="H59" s="141">
        <v>42</v>
      </c>
      <c r="I59" s="142">
        <v>0.81</v>
      </c>
      <c r="J59" s="142">
        <v>0.52</v>
      </c>
      <c r="K59" s="142">
        <v>1.27</v>
      </c>
      <c r="L59" s="141" t="s">
        <v>827</v>
      </c>
      <c r="M59" s="141">
        <v>87.7</v>
      </c>
      <c r="N59" s="181">
        <v>76.3</v>
      </c>
      <c r="O59" s="181">
        <v>94.9</v>
      </c>
      <c r="P59" s="181">
        <f t="shared" si="6"/>
        <v>11.400000000000006</v>
      </c>
      <c r="Q59" s="181">
        <f t="shared" si="7"/>
        <v>7.2000000000000028</v>
      </c>
      <c r="R59" s="144">
        <v>0.55000000000000004</v>
      </c>
      <c r="S59" s="144">
        <v>0.95</v>
      </c>
      <c r="T59" s="145">
        <v>0.05</v>
      </c>
      <c r="U59" t="str">
        <f t="shared" si="11"/>
        <v>R0B</v>
      </c>
      <c r="V59">
        <f t="shared" si="12"/>
        <v>1</v>
      </c>
      <c r="W59">
        <f t="shared" si="13"/>
        <v>3</v>
      </c>
      <c r="X59" s="46">
        <f>IF('Amputation Summary'!$Q$33=2,RANK(S59,S$8:S$76,1)+COUNTIF($S$8:S59,S59)-1,IF('Amputation Summary'!$Q$33=1,RANK(R59,R$8:R$76,1)+COUNTIF($R59:R59,R59)-1))</f>
        <v>11</v>
      </c>
      <c r="Y59" s="8">
        <f>IF( 'Amputation Summary'!$Q$33=2, S59, IF('Amputation Summary'!$Q$33=1,R59))</f>
        <v>0.55000000000000004</v>
      </c>
      <c r="Z59" s="11">
        <v>7</v>
      </c>
      <c r="AA59">
        <v>3</v>
      </c>
      <c r="AB59">
        <f t="shared" si="8"/>
        <v>4</v>
      </c>
      <c r="AC59">
        <v>14</v>
      </c>
      <c r="AD59">
        <f t="shared" si="9"/>
        <v>7</v>
      </c>
      <c r="AE59">
        <v>34</v>
      </c>
      <c r="AF59" s="46">
        <f t="shared" si="10"/>
        <v>34</v>
      </c>
      <c r="AG59" s="11">
        <f>IF('Amputation Summary'!$O$4=2, M59, IF('Amputation Summary'!$O$4=1,Z59))</f>
        <v>7</v>
      </c>
      <c r="AH59" s="11">
        <f>IF('Amputation Summary'!$O$4=2, P59, IF('Amputation Summary'!$O$4=1,AB59))</f>
        <v>4</v>
      </c>
      <c r="AI59" s="11">
        <f>IF('Amputation Summary'!$O$4=2, Q59, IF('Amputation Summary'!$O$4=1,AD59))</f>
        <v>7</v>
      </c>
      <c r="AJ59">
        <v>1</v>
      </c>
      <c r="AK59" s="152">
        <f t="shared" si="14"/>
        <v>0.45999999999999996</v>
      </c>
      <c r="AL59" s="152">
        <f t="shared" si="15"/>
        <v>0.29000000000000004</v>
      </c>
      <c r="AM59">
        <v>22</v>
      </c>
    </row>
    <row r="60" spans="1:39" x14ac:dyDescent="0.25">
      <c r="A60" s="139" t="s">
        <v>52</v>
      </c>
      <c r="B60" s="139" t="s">
        <v>53</v>
      </c>
      <c r="C60" s="140">
        <v>21</v>
      </c>
      <c r="D60" s="140">
        <v>112</v>
      </c>
      <c r="E60" s="141" t="s">
        <v>580</v>
      </c>
      <c r="F60" s="145">
        <v>0.9523809552192688</v>
      </c>
      <c r="G60" s="141">
        <v>11</v>
      </c>
      <c r="H60" s="141">
        <v>10</v>
      </c>
      <c r="I60" s="142">
        <v>1.1000000000000001</v>
      </c>
      <c r="J60" s="142">
        <v>0.47</v>
      </c>
      <c r="K60" s="142">
        <v>2.59</v>
      </c>
      <c r="L60" s="141" t="s">
        <v>828</v>
      </c>
      <c r="M60" s="141">
        <v>95.2</v>
      </c>
      <c r="N60" s="181">
        <v>76.2</v>
      </c>
      <c r="O60" s="181">
        <v>99.9</v>
      </c>
      <c r="P60" s="181">
        <f t="shared" si="6"/>
        <v>19</v>
      </c>
      <c r="Q60" s="181">
        <f t="shared" si="7"/>
        <v>4.7000000000000028</v>
      </c>
      <c r="R60" s="144">
        <v>0.81</v>
      </c>
      <c r="S60" s="144">
        <v>0.9</v>
      </c>
      <c r="T60" s="145">
        <v>5.5E-2</v>
      </c>
      <c r="U60" t="str">
        <f t="shared" si="11"/>
        <v>RJ7</v>
      </c>
      <c r="V60">
        <f t="shared" si="12"/>
        <v>2</v>
      </c>
      <c r="W60">
        <f t="shared" si="13"/>
        <v>2</v>
      </c>
      <c r="X60" s="46">
        <f>IF('Amputation Summary'!$Q$33=2,RANK(S60,S$8:S$76,1)+COUNTIF($S$8:S60,S60)-1,IF('Amputation Summary'!$Q$33=1,RANK(R60,R$8:R$76,1)+COUNTIF($R60:R60,R60)-1))</f>
        <v>25</v>
      </c>
      <c r="Y60" s="8">
        <f>IF( 'Amputation Summary'!$Q$33=2, S60, IF('Amputation Summary'!$Q$33=1,R60))</f>
        <v>0.81</v>
      </c>
      <c r="Z60" s="11">
        <v>7</v>
      </c>
      <c r="AA60">
        <v>3</v>
      </c>
      <c r="AB60">
        <f t="shared" si="8"/>
        <v>4</v>
      </c>
      <c r="AC60">
        <v>13</v>
      </c>
      <c r="AD60">
        <f t="shared" si="9"/>
        <v>6</v>
      </c>
      <c r="AE60">
        <v>33</v>
      </c>
      <c r="AF60" s="46">
        <f t="shared" si="10"/>
        <v>33</v>
      </c>
      <c r="AG60" s="11">
        <f>IF('Amputation Summary'!$O$4=2, M60, IF('Amputation Summary'!$O$4=1,Z60))</f>
        <v>7</v>
      </c>
      <c r="AH60" s="11">
        <f>IF('Amputation Summary'!$O$4=2, P60, IF('Amputation Summary'!$O$4=1,AB60))</f>
        <v>4</v>
      </c>
      <c r="AI60" s="11">
        <f>IF('Amputation Summary'!$O$4=2, Q60, IF('Amputation Summary'!$O$4=1,AD60))</f>
        <v>6</v>
      </c>
      <c r="AJ60">
        <v>1</v>
      </c>
      <c r="AK60" s="152">
        <f t="shared" si="14"/>
        <v>1.4899999999999998</v>
      </c>
      <c r="AL60" s="152">
        <f t="shared" si="15"/>
        <v>0.63000000000000012</v>
      </c>
      <c r="AM60">
        <v>36</v>
      </c>
    </row>
    <row r="61" spans="1:39" x14ac:dyDescent="0.25">
      <c r="A61" s="139" t="s">
        <v>2</v>
      </c>
      <c r="B61" s="139" t="s">
        <v>168</v>
      </c>
      <c r="C61" s="140">
        <v>97</v>
      </c>
      <c r="D61" s="140">
        <v>306</v>
      </c>
      <c r="E61" s="141" t="s">
        <v>775</v>
      </c>
      <c r="F61" s="145">
        <v>0.74025976657867432</v>
      </c>
      <c r="G61" s="141">
        <v>54</v>
      </c>
      <c r="H61" s="141">
        <v>43</v>
      </c>
      <c r="I61" s="142">
        <v>1.26</v>
      </c>
      <c r="J61" s="142">
        <v>0.84</v>
      </c>
      <c r="K61" s="142">
        <v>1.87</v>
      </c>
      <c r="L61" s="141" t="s">
        <v>829</v>
      </c>
      <c r="M61" s="141">
        <v>74</v>
      </c>
      <c r="N61" s="181">
        <v>62.8</v>
      </c>
      <c r="O61" s="181">
        <v>83.4</v>
      </c>
      <c r="P61" s="181">
        <f t="shared" si="6"/>
        <v>11.200000000000003</v>
      </c>
      <c r="Q61" s="181">
        <f t="shared" si="7"/>
        <v>9.4000000000000057</v>
      </c>
      <c r="R61" s="144">
        <v>0.47</v>
      </c>
      <c r="S61" s="144">
        <v>0.81</v>
      </c>
      <c r="T61" s="145">
        <v>7.0999999999999994E-2</v>
      </c>
      <c r="U61" t="str">
        <f t="shared" si="11"/>
        <v>7A3</v>
      </c>
      <c r="V61">
        <f t="shared" si="12"/>
        <v>1</v>
      </c>
      <c r="W61">
        <f t="shared" si="13"/>
        <v>2</v>
      </c>
      <c r="X61" s="46">
        <f>IF('Amputation Summary'!$Q$33=2,RANK(S61,S$8:S$76,1)+COUNTIF($S$8:S61,S61)-1,IF('Amputation Summary'!$Q$33=1,RANK(R61,R$8:R$76,1)+COUNTIF($R61:R61,R61)-1))</f>
        <v>9</v>
      </c>
      <c r="Y61" s="8">
        <f>IF( 'Amputation Summary'!$Q$33=2, S61, IF('Amputation Summary'!$Q$33=1,R61))</f>
        <v>0.47</v>
      </c>
      <c r="Z61" s="11">
        <v>10</v>
      </c>
      <c r="AA61">
        <v>4</v>
      </c>
      <c r="AB61">
        <f t="shared" si="8"/>
        <v>6</v>
      </c>
      <c r="AC61">
        <v>30</v>
      </c>
      <c r="AD61">
        <f t="shared" si="9"/>
        <v>20</v>
      </c>
      <c r="AE61">
        <v>51</v>
      </c>
      <c r="AF61" s="46">
        <f t="shared" si="10"/>
        <v>51</v>
      </c>
      <c r="AG61" s="11">
        <f>IF('Amputation Summary'!$O$4=2, M61, IF('Amputation Summary'!$O$4=1,Z61))</f>
        <v>10</v>
      </c>
      <c r="AH61" s="11">
        <f>IF('Amputation Summary'!$O$4=2, P61, IF('Amputation Summary'!$O$4=1,AB61))</f>
        <v>6</v>
      </c>
      <c r="AI61" s="11">
        <f>IF('Amputation Summary'!$O$4=2, Q61, IF('Amputation Summary'!$O$4=1,AD61))</f>
        <v>20</v>
      </c>
      <c r="AJ61">
        <v>1</v>
      </c>
      <c r="AK61" s="152">
        <f t="shared" si="14"/>
        <v>0.6100000000000001</v>
      </c>
      <c r="AL61" s="152">
        <f t="shared" si="15"/>
        <v>0.42000000000000004</v>
      </c>
      <c r="AM61">
        <v>45</v>
      </c>
    </row>
    <row r="62" spans="1:39" x14ac:dyDescent="0.25">
      <c r="A62" s="139" t="s">
        <v>69</v>
      </c>
      <c r="B62" s="139" t="s">
        <v>70</v>
      </c>
      <c r="C62" s="140">
        <v>49</v>
      </c>
      <c r="D62" s="140">
        <v>181</v>
      </c>
      <c r="E62" s="141" t="s">
        <v>185</v>
      </c>
      <c r="F62" s="145">
        <v>0.93548387289047241</v>
      </c>
      <c r="G62" s="141">
        <v>21</v>
      </c>
      <c r="H62" s="141">
        <v>28</v>
      </c>
      <c r="I62" s="142">
        <v>0.75</v>
      </c>
      <c r="J62" s="142">
        <v>0.43</v>
      </c>
      <c r="K62" s="142">
        <v>1.32</v>
      </c>
      <c r="L62" s="141" t="s">
        <v>830</v>
      </c>
      <c r="M62" s="141">
        <v>93.5</v>
      </c>
      <c r="N62" s="181">
        <v>78.599999999999994</v>
      </c>
      <c r="O62" s="181">
        <v>99.2</v>
      </c>
      <c r="P62" s="181">
        <f t="shared" si="6"/>
        <v>14.900000000000006</v>
      </c>
      <c r="Q62" s="181">
        <f t="shared" si="7"/>
        <v>5.7000000000000028</v>
      </c>
      <c r="R62" s="144">
        <v>0.55000000000000004</v>
      </c>
      <c r="S62" s="144">
        <v>0.94</v>
      </c>
      <c r="T62" s="145">
        <v>9.8000000000000004E-2</v>
      </c>
      <c r="U62" t="str">
        <f t="shared" si="11"/>
        <v>RNA</v>
      </c>
      <c r="V62">
        <f t="shared" si="12"/>
        <v>1</v>
      </c>
      <c r="W62">
        <f t="shared" si="13"/>
        <v>3</v>
      </c>
      <c r="X62" s="46">
        <f>IF('Amputation Summary'!$Q$33=2,RANK(S62,S$8:S$76,1)+COUNTIF($S$8:S62,S62)-1,IF('Amputation Summary'!$Q$33=1,RANK(R62,R$8:R$76,1)+COUNTIF($R62:R62,R62)-1))</f>
        <v>11</v>
      </c>
      <c r="Y62" s="8">
        <f>IF( 'Amputation Summary'!$Q$33=2, S62, IF('Amputation Summary'!$Q$33=1,R62))</f>
        <v>0.55000000000000004</v>
      </c>
      <c r="Z62" s="11">
        <v>3</v>
      </c>
      <c r="AA62">
        <v>1</v>
      </c>
      <c r="AB62">
        <f t="shared" si="8"/>
        <v>2</v>
      </c>
      <c r="AC62">
        <v>9</v>
      </c>
      <c r="AD62">
        <f t="shared" si="9"/>
        <v>6</v>
      </c>
      <c r="AE62">
        <v>7</v>
      </c>
      <c r="AF62" s="46">
        <f t="shared" si="10"/>
        <v>7</v>
      </c>
      <c r="AG62" s="11">
        <f>IF('Amputation Summary'!$O$4=2, M62, IF('Amputation Summary'!$O$4=1,Z62))</f>
        <v>3</v>
      </c>
      <c r="AH62" s="11">
        <f>IF('Amputation Summary'!$O$4=2, P62, IF('Amputation Summary'!$O$4=1,AB62))</f>
        <v>2</v>
      </c>
      <c r="AI62" s="11">
        <f>IF('Amputation Summary'!$O$4=2, Q62, IF('Amputation Summary'!$O$4=1,AD62))</f>
        <v>6</v>
      </c>
      <c r="AJ62">
        <v>1</v>
      </c>
      <c r="AK62" s="152">
        <f t="shared" si="14"/>
        <v>0.57000000000000006</v>
      </c>
      <c r="AL62" s="152">
        <f t="shared" si="15"/>
        <v>0.32</v>
      </c>
      <c r="AM62">
        <v>19</v>
      </c>
    </row>
    <row r="63" spans="1:39" x14ac:dyDescent="0.25">
      <c r="A63" s="139" t="s">
        <v>13</v>
      </c>
      <c r="B63" s="139" t="s">
        <v>14</v>
      </c>
      <c r="C63" s="140">
        <v>0</v>
      </c>
      <c r="D63" s="140" t="e">
        <v>#N/A</v>
      </c>
      <c r="E63" s="77" t="s">
        <v>284</v>
      </c>
      <c r="F63" s="146" t="s">
        <v>284</v>
      </c>
      <c r="G63" s="141" t="s">
        <v>284</v>
      </c>
      <c r="H63" s="141" t="s">
        <v>284</v>
      </c>
      <c r="I63" s="143" t="s">
        <v>284</v>
      </c>
      <c r="J63" s="142" t="e">
        <v>#VALUE!</v>
      </c>
      <c r="K63" s="142" t="e">
        <v>#VALUE!</v>
      </c>
      <c r="L63" s="77" t="s">
        <v>284</v>
      </c>
      <c r="M63" s="141" t="e">
        <v>#VALUE!</v>
      </c>
      <c r="N63" s="181" t="e">
        <v>#VALUE!</v>
      </c>
      <c r="O63" s="181" t="e">
        <v>#VALUE!</v>
      </c>
      <c r="P63" s="181" t="e">
        <f t="shared" si="6"/>
        <v>#VALUE!</v>
      </c>
      <c r="Q63" s="181" t="e">
        <f t="shared" si="7"/>
        <v>#VALUE!</v>
      </c>
      <c r="R63" s="77" t="s">
        <v>284</v>
      </c>
      <c r="S63" s="77" t="s">
        <v>284</v>
      </c>
      <c r="T63" s="145" t="s">
        <v>284</v>
      </c>
      <c r="U63" t="str">
        <f t="shared" si="11"/>
        <v>RA9</v>
      </c>
      <c r="V63">
        <f t="shared" si="12"/>
        <v>4</v>
      </c>
      <c r="W63">
        <f t="shared" si="13"/>
        <v>4</v>
      </c>
      <c r="X63" s="46" t="e">
        <f>IF('Amputation Summary'!$Q$33=2,RANK(S63,S$8:S$76,1)+COUNTIF($S$8:S63,S63)-1,IF('Amputation Summary'!$Q$33=1,RANK(R63,R$8:R$76,1)+COUNTIF($R63:R63,R63)-1))</f>
        <v>#VALUE!</v>
      </c>
      <c r="Y63" s="8" t="str">
        <f>IF( 'Amputation Summary'!$Q$33=2, S63, IF('Amputation Summary'!$Q$33=1,R63))</f>
        <v>xx</v>
      </c>
      <c r="Z63" s="11" t="s">
        <v>284</v>
      </c>
      <c r="AA63" t="e">
        <v>#VALUE!</v>
      </c>
      <c r="AB63" t="e">
        <f t="shared" si="8"/>
        <v>#VALUE!</v>
      </c>
      <c r="AC63" t="e">
        <v>#VALUE!</v>
      </c>
      <c r="AD63" t="e">
        <f t="shared" si="9"/>
        <v>#VALUE!</v>
      </c>
      <c r="AE63">
        <v>69</v>
      </c>
      <c r="AF63" s="46">
        <f t="shared" si="10"/>
        <v>69</v>
      </c>
      <c r="AG63" s="11" t="str">
        <f>IF('Amputation Summary'!$O$4=2, M63, IF('Amputation Summary'!$O$4=1,Z63))</f>
        <v>xx</v>
      </c>
      <c r="AH63" s="11" t="e">
        <f>IF('Amputation Summary'!$O$4=2, P63, IF('Amputation Summary'!$O$4=1,AB63))</f>
        <v>#VALUE!</v>
      </c>
      <c r="AI63" s="11" t="e">
        <f>IF('Amputation Summary'!$O$4=2, Q63, IF('Amputation Summary'!$O$4=1,AD63))</f>
        <v>#VALUE!</v>
      </c>
      <c r="AJ63">
        <v>1</v>
      </c>
      <c r="AK63" s="152" t="e">
        <f t="shared" si="14"/>
        <v>#VALUE!</v>
      </c>
      <c r="AL63" s="152" t="e">
        <f t="shared" si="15"/>
        <v>#VALUE!</v>
      </c>
      <c r="AM63">
        <v>69</v>
      </c>
    </row>
    <row r="64" spans="1:39" x14ac:dyDescent="0.25">
      <c r="A64" s="139" t="s">
        <v>107</v>
      </c>
      <c r="B64" s="139" t="s">
        <v>108</v>
      </c>
      <c r="C64" s="140">
        <v>34</v>
      </c>
      <c r="D64" s="140">
        <v>115</v>
      </c>
      <c r="E64" s="141" t="s">
        <v>496</v>
      </c>
      <c r="F64" s="145">
        <v>0.86206895112991333</v>
      </c>
      <c r="G64" s="141">
        <v>29</v>
      </c>
      <c r="H64" s="141">
        <v>5</v>
      </c>
      <c r="I64" s="142">
        <v>5.8</v>
      </c>
      <c r="J64" s="142">
        <v>2.25</v>
      </c>
      <c r="K64" s="142">
        <v>7.5</v>
      </c>
      <c r="L64" s="141" t="s">
        <v>831</v>
      </c>
      <c r="M64" s="141">
        <v>86.2</v>
      </c>
      <c r="N64" s="181">
        <v>68.3</v>
      </c>
      <c r="O64" s="181">
        <v>96.1</v>
      </c>
      <c r="P64" s="181">
        <f t="shared" si="6"/>
        <v>17.900000000000006</v>
      </c>
      <c r="Q64" s="181">
        <f t="shared" si="7"/>
        <v>9.8999999999999915</v>
      </c>
      <c r="R64" s="144">
        <v>0.65</v>
      </c>
      <c r="S64" s="144">
        <v>0.97</v>
      </c>
      <c r="T64" s="145">
        <v>0.06</v>
      </c>
      <c r="U64" t="str">
        <f t="shared" si="11"/>
        <v>RWD</v>
      </c>
      <c r="V64">
        <f t="shared" si="12"/>
        <v>2</v>
      </c>
      <c r="W64">
        <f t="shared" si="13"/>
        <v>3</v>
      </c>
      <c r="X64" s="46">
        <f>IF('Amputation Summary'!$Q$33=2,RANK(S64,S$8:S$76,1)+COUNTIF($S$8:S64,S64)-1,IF('Amputation Summary'!$Q$33=1,RANK(R64,R$8:R$76,1)+COUNTIF($R64:R64,R64)-1))</f>
        <v>20</v>
      </c>
      <c r="Y64" s="8">
        <f>IF( 'Amputation Summary'!$Q$33=2, S64, IF('Amputation Summary'!$Q$33=1,R64))</f>
        <v>0.65</v>
      </c>
      <c r="Z64" s="11">
        <v>8</v>
      </c>
      <c r="AA64">
        <v>3</v>
      </c>
      <c r="AB64">
        <f t="shared" si="8"/>
        <v>5</v>
      </c>
      <c r="AC64">
        <v>16</v>
      </c>
      <c r="AD64">
        <f t="shared" si="9"/>
        <v>8</v>
      </c>
      <c r="AE64">
        <v>38</v>
      </c>
      <c r="AF64" s="46">
        <f t="shared" si="10"/>
        <v>38</v>
      </c>
      <c r="AG64" s="11">
        <f>IF('Amputation Summary'!$O$4=2, M64, IF('Amputation Summary'!$O$4=1,Z64))</f>
        <v>8</v>
      </c>
      <c r="AH64" s="11">
        <f>IF('Amputation Summary'!$O$4=2, P64, IF('Amputation Summary'!$O$4=1,AB64))</f>
        <v>5</v>
      </c>
      <c r="AI64" s="11">
        <f>IF('Amputation Summary'!$O$4=2, Q64, IF('Amputation Summary'!$O$4=1,AD64))</f>
        <v>8</v>
      </c>
      <c r="AJ64">
        <v>1</v>
      </c>
      <c r="AK64" s="152">
        <f t="shared" si="14"/>
        <v>1.7000000000000002</v>
      </c>
      <c r="AL64" s="152">
        <f t="shared" si="15"/>
        <v>3.55</v>
      </c>
      <c r="AM64">
        <v>66</v>
      </c>
    </row>
    <row r="65" spans="1:39" x14ac:dyDescent="0.25">
      <c r="A65" s="139" t="s">
        <v>54</v>
      </c>
      <c r="B65" s="139" t="s">
        <v>55</v>
      </c>
      <c r="C65" s="140">
        <v>80</v>
      </c>
      <c r="D65" s="140">
        <v>250</v>
      </c>
      <c r="E65" s="141" t="s">
        <v>776</v>
      </c>
      <c r="F65" s="145">
        <v>0.57142859697341919</v>
      </c>
      <c r="G65" s="141">
        <v>39</v>
      </c>
      <c r="H65" s="141">
        <v>41</v>
      </c>
      <c r="I65" s="142">
        <v>0.95</v>
      </c>
      <c r="J65" s="142">
        <v>0.61</v>
      </c>
      <c r="K65" s="142">
        <v>1.47</v>
      </c>
      <c r="L65" s="141" t="s">
        <v>826</v>
      </c>
      <c r="M65" s="141">
        <v>57.1</v>
      </c>
      <c r="N65" s="181">
        <v>41</v>
      </c>
      <c r="O65" s="181">
        <v>72.3</v>
      </c>
      <c r="P65" s="181">
        <f t="shared" si="6"/>
        <v>16.100000000000001</v>
      </c>
      <c r="Q65" s="181">
        <f t="shared" si="7"/>
        <v>15.199999999999996</v>
      </c>
      <c r="R65" s="144">
        <v>0.9</v>
      </c>
      <c r="S65" s="144">
        <v>0.9</v>
      </c>
      <c r="T65" s="145">
        <v>8.4000000000000005E-2</v>
      </c>
      <c r="U65" t="str">
        <f t="shared" si="11"/>
        <v>RJE</v>
      </c>
      <c r="V65">
        <f t="shared" si="12"/>
        <v>3</v>
      </c>
      <c r="W65">
        <f t="shared" si="13"/>
        <v>2</v>
      </c>
      <c r="X65" s="46">
        <f>IF('Amputation Summary'!$Q$33=2,RANK(S65,S$8:S$76,1)+COUNTIF($S$8:S65,S65)-1,IF('Amputation Summary'!$Q$33=1,RANK(R65,R$8:R$76,1)+COUNTIF($R65:R65,R65)-1))</f>
        <v>39</v>
      </c>
      <c r="Y65" s="8">
        <f>IF( 'Amputation Summary'!$Q$33=2, S65, IF('Amputation Summary'!$Q$33=1,R65))</f>
        <v>0.9</v>
      </c>
      <c r="Z65" s="11">
        <v>12</v>
      </c>
      <c r="AA65">
        <v>4</v>
      </c>
      <c r="AB65">
        <f t="shared" si="8"/>
        <v>8</v>
      </c>
      <c r="AC65">
        <v>53</v>
      </c>
      <c r="AD65">
        <f t="shared" si="9"/>
        <v>41</v>
      </c>
      <c r="AE65">
        <v>58</v>
      </c>
      <c r="AF65" s="46">
        <f t="shared" si="10"/>
        <v>58</v>
      </c>
      <c r="AG65" s="11">
        <f>IF('Amputation Summary'!$O$4=2, M65, IF('Amputation Summary'!$O$4=1,Z65))</f>
        <v>12</v>
      </c>
      <c r="AH65" s="11">
        <f>IF('Amputation Summary'!$O$4=2, P65, IF('Amputation Summary'!$O$4=1,AB65))</f>
        <v>8</v>
      </c>
      <c r="AI65" s="11">
        <f>IF('Amputation Summary'!$O$4=2, Q65, IF('Amputation Summary'!$O$4=1,AD65))</f>
        <v>41</v>
      </c>
      <c r="AJ65">
        <v>1</v>
      </c>
      <c r="AK65" s="152">
        <f t="shared" si="14"/>
        <v>0.52</v>
      </c>
      <c r="AL65" s="152">
        <f t="shared" si="15"/>
        <v>0.33999999999999997</v>
      </c>
      <c r="AM65">
        <v>28</v>
      </c>
    </row>
    <row r="66" spans="1:39" x14ac:dyDescent="0.25">
      <c r="A66" s="139" t="s">
        <v>44</v>
      </c>
      <c r="B66" s="139" t="s">
        <v>45</v>
      </c>
      <c r="C66" s="140">
        <v>85</v>
      </c>
      <c r="D66" s="140">
        <v>202</v>
      </c>
      <c r="E66" s="141" t="s">
        <v>551</v>
      </c>
      <c r="F66" s="145">
        <v>0.8888888955116272</v>
      </c>
      <c r="G66" s="141">
        <v>40</v>
      </c>
      <c r="H66" s="141">
        <v>45</v>
      </c>
      <c r="I66" s="142">
        <v>0.89</v>
      </c>
      <c r="J66" s="142">
        <v>0.57999999999999996</v>
      </c>
      <c r="K66" s="142">
        <v>1.36</v>
      </c>
      <c r="L66" s="141" t="s">
        <v>832</v>
      </c>
      <c r="M66" s="141">
        <v>88.9</v>
      </c>
      <c r="N66" s="181">
        <v>73.900000000000006</v>
      </c>
      <c r="O66" s="181">
        <v>96.9</v>
      </c>
      <c r="P66" s="181">
        <f t="shared" si="6"/>
        <v>15</v>
      </c>
      <c r="Q66" s="181">
        <f t="shared" si="7"/>
        <v>8</v>
      </c>
      <c r="R66" s="144">
        <v>0.87</v>
      </c>
      <c r="S66" s="144">
        <v>0.62</v>
      </c>
      <c r="T66" s="145">
        <v>4.9000000000000002E-2</v>
      </c>
      <c r="U66" t="str">
        <f t="shared" si="11"/>
        <v>RHM</v>
      </c>
      <c r="V66">
        <f t="shared" si="12"/>
        <v>3</v>
      </c>
      <c r="W66">
        <f t="shared" si="13"/>
        <v>1</v>
      </c>
      <c r="X66" s="46">
        <f>IF('Amputation Summary'!$Q$33=2,RANK(S66,S$8:S$76,1)+COUNTIF($S$8:S66,S66)-1,IF('Amputation Summary'!$Q$33=1,RANK(R66,R$8:R$76,1)+COUNTIF($R66:R66,R66)-1))</f>
        <v>35</v>
      </c>
      <c r="Y66" s="8">
        <f>IF( 'Amputation Summary'!$Q$33=2, S66, IF('Amputation Summary'!$Q$33=1,R66))</f>
        <v>0.87</v>
      </c>
      <c r="Z66" s="11">
        <v>5</v>
      </c>
      <c r="AA66">
        <v>2</v>
      </c>
      <c r="AB66">
        <f t="shared" si="8"/>
        <v>3</v>
      </c>
      <c r="AC66">
        <v>11</v>
      </c>
      <c r="AD66">
        <f t="shared" si="9"/>
        <v>6</v>
      </c>
      <c r="AE66">
        <v>17</v>
      </c>
      <c r="AF66" s="46">
        <f t="shared" si="10"/>
        <v>17</v>
      </c>
      <c r="AG66" s="11">
        <f>IF('Amputation Summary'!$O$4=2, M66, IF('Amputation Summary'!$O$4=1,Z66))</f>
        <v>5</v>
      </c>
      <c r="AH66" s="11">
        <f>IF('Amputation Summary'!$O$4=2, P66, IF('Amputation Summary'!$O$4=1,AB66))</f>
        <v>3</v>
      </c>
      <c r="AI66" s="11">
        <f>IF('Amputation Summary'!$O$4=2, Q66, IF('Amputation Summary'!$O$4=1,AD66))</f>
        <v>6</v>
      </c>
      <c r="AJ66">
        <v>1</v>
      </c>
      <c r="AK66" s="152">
        <f t="shared" si="14"/>
        <v>0.47000000000000008</v>
      </c>
      <c r="AL66" s="152">
        <f t="shared" si="15"/>
        <v>0.31000000000000005</v>
      </c>
      <c r="AM66">
        <v>27</v>
      </c>
    </row>
    <row r="67" spans="1:39" x14ac:dyDescent="0.25">
      <c r="A67" s="139" t="s">
        <v>525</v>
      </c>
      <c r="B67" s="139" t="s">
        <v>526</v>
      </c>
      <c r="C67" s="140">
        <v>105</v>
      </c>
      <c r="D67" s="140">
        <v>292</v>
      </c>
      <c r="E67" s="141" t="s">
        <v>777</v>
      </c>
      <c r="F67" s="145">
        <v>0.82278478145599365</v>
      </c>
      <c r="G67" s="141">
        <v>75</v>
      </c>
      <c r="H67" s="141">
        <v>30</v>
      </c>
      <c r="I67" s="142">
        <v>2.5</v>
      </c>
      <c r="J67" s="142">
        <v>1.64</v>
      </c>
      <c r="K67" s="142">
        <v>3.82</v>
      </c>
      <c r="L67" s="141" t="s">
        <v>833</v>
      </c>
      <c r="M67" s="141">
        <v>82.3</v>
      </c>
      <c r="N67" s="181">
        <v>72.099999999999994</v>
      </c>
      <c r="O67" s="181">
        <v>90</v>
      </c>
      <c r="P67" s="181">
        <f t="shared" si="6"/>
        <v>10.200000000000003</v>
      </c>
      <c r="Q67" s="181">
        <f t="shared" si="7"/>
        <v>7.7000000000000028</v>
      </c>
      <c r="R67" s="144">
        <v>0.37</v>
      </c>
      <c r="S67" s="144">
        <v>0.99</v>
      </c>
      <c r="T67" s="145">
        <v>0.03</v>
      </c>
      <c r="U67" t="str">
        <f t="shared" si="11"/>
        <v>RYR</v>
      </c>
      <c r="V67">
        <f t="shared" si="12"/>
        <v>1</v>
      </c>
      <c r="W67">
        <f t="shared" si="13"/>
        <v>4</v>
      </c>
      <c r="X67" s="46">
        <f>IF('Amputation Summary'!$Q$33=2,RANK(S67,S$8:S$76,1)+COUNTIF($S$8:S67,S67)-1,IF('Amputation Summary'!$Q$33=1,RANK(R67,R$8:R$76,1)+COUNTIF($R67:R67,R67)-1))</f>
        <v>6</v>
      </c>
      <c r="Y67" s="8">
        <f>IF( 'Amputation Summary'!$Q$33=2, S67, IF('Amputation Summary'!$Q$33=1,R67))</f>
        <v>0.37</v>
      </c>
      <c r="Z67" s="11">
        <v>9</v>
      </c>
      <c r="AA67">
        <v>3</v>
      </c>
      <c r="AB67">
        <f t="shared" si="8"/>
        <v>6</v>
      </c>
      <c r="AC67">
        <v>22</v>
      </c>
      <c r="AD67">
        <f t="shared" si="9"/>
        <v>13</v>
      </c>
      <c r="AE67">
        <v>46</v>
      </c>
      <c r="AF67" s="46">
        <f t="shared" si="10"/>
        <v>46</v>
      </c>
      <c r="AG67" s="11">
        <f>IF('Amputation Summary'!$O$4=2, M67, IF('Amputation Summary'!$O$4=1,Z67))</f>
        <v>9</v>
      </c>
      <c r="AH67" s="11">
        <f>IF('Amputation Summary'!$O$4=2, P67, IF('Amputation Summary'!$O$4=1,AB67))</f>
        <v>6</v>
      </c>
      <c r="AI67" s="11">
        <f>IF('Amputation Summary'!$O$4=2, Q67, IF('Amputation Summary'!$O$4=1,AD67))</f>
        <v>13</v>
      </c>
      <c r="AJ67">
        <v>1</v>
      </c>
      <c r="AK67" s="152">
        <f t="shared" si="14"/>
        <v>1.3199999999999998</v>
      </c>
      <c r="AL67" s="152">
        <f t="shared" si="15"/>
        <v>0.8600000000000001</v>
      </c>
      <c r="AM67">
        <v>63</v>
      </c>
    </row>
    <row r="68" spans="1:39" x14ac:dyDescent="0.25">
      <c r="A68" s="139" t="s">
        <v>85</v>
      </c>
      <c r="B68" s="139" t="s">
        <v>86</v>
      </c>
      <c r="C68" s="140">
        <v>98</v>
      </c>
      <c r="D68" s="140">
        <v>298</v>
      </c>
      <c r="E68" s="141" t="s">
        <v>225</v>
      </c>
      <c r="F68" s="145">
        <v>0.875</v>
      </c>
      <c r="G68" s="141">
        <v>41</v>
      </c>
      <c r="H68" s="141">
        <v>57</v>
      </c>
      <c r="I68" s="142">
        <v>0.72</v>
      </c>
      <c r="J68" s="142">
        <v>0.48</v>
      </c>
      <c r="K68" s="142">
        <v>1.07</v>
      </c>
      <c r="L68" s="141" t="s">
        <v>834</v>
      </c>
      <c r="M68" s="141">
        <v>87.5</v>
      </c>
      <c r="N68" s="181">
        <v>61.7</v>
      </c>
      <c r="O68" s="181">
        <v>98.4</v>
      </c>
      <c r="P68" s="181">
        <f t="shared" si="6"/>
        <v>25.799999999999997</v>
      </c>
      <c r="Q68" s="181">
        <f t="shared" si="7"/>
        <v>10.900000000000006</v>
      </c>
      <c r="R68" s="144">
        <v>0.53</v>
      </c>
      <c r="S68" s="144">
        <v>0.73</v>
      </c>
      <c r="T68" s="145">
        <v>6.9000000000000006E-2</v>
      </c>
      <c r="U68" t="str">
        <f t="shared" si="11"/>
        <v>RRK</v>
      </c>
      <c r="V68">
        <f t="shared" si="12"/>
        <v>1</v>
      </c>
      <c r="W68">
        <f t="shared" si="13"/>
        <v>1</v>
      </c>
      <c r="X68" s="46">
        <f>IF('Amputation Summary'!$Q$33=2,RANK(S68,S$8:S$76,1)+COUNTIF($S$8:S68,S68)-1,IF('Amputation Summary'!$Q$33=1,RANK(R68,R$8:R$76,1)+COUNTIF($R68:R68,R68)-1))</f>
        <v>10</v>
      </c>
      <c r="Y68" s="8">
        <f>IF( 'Amputation Summary'!$Q$33=2, S68, IF('Amputation Summary'!$Q$33=1,R68))</f>
        <v>0.53</v>
      </c>
      <c r="Z68" s="11">
        <v>2</v>
      </c>
      <c r="AA68">
        <v>1</v>
      </c>
      <c r="AB68">
        <f t="shared" si="8"/>
        <v>1</v>
      </c>
      <c r="AC68">
        <v>7</v>
      </c>
      <c r="AD68">
        <f t="shared" si="9"/>
        <v>5</v>
      </c>
      <c r="AE68">
        <v>3</v>
      </c>
      <c r="AF68" s="46">
        <f t="shared" si="10"/>
        <v>3</v>
      </c>
      <c r="AG68" s="11">
        <f>IF('Amputation Summary'!$O$4=2, M68, IF('Amputation Summary'!$O$4=1,Z68))</f>
        <v>2</v>
      </c>
      <c r="AH68" s="11">
        <f>IF('Amputation Summary'!$O$4=2, P68, IF('Amputation Summary'!$O$4=1,AB68))</f>
        <v>1</v>
      </c>
      <c r="AI68" s="11">
        <f>IF('Amputation Summary'!$O$4=2, Q68, IF('Amputation Summary'!$O$4=1,AD68))</f>
        <v>5</v>
      </c>
      <c r="AJ68">
        <v>1</v>
      </c>
      <c r="AK68" s="152">
        <f t="shared" si="14"/>
        <v>0.35000000000000009</v>
      </c>
      <c r="AL68" s="152">
        <f t="shared" si="15"/>
        <v>0.24</v>
      </c>
      <c r="AM68">
        <v>16</v>
      </c>
    </row>
    <row r="69" spans="1:39" x14ac:dyDescent="0.25">
      <c r="A69" s="139" t="s">
        <v>61</v>
      </c>
      <c r="B69" s="139" t="s">
        <v>62</v>
      </c>
      <c r="C69" s="140">
        <v>36</v>
      </c>
      <c r="D69" s="140">
        <v>99</v>
      </c>
      <c r="E69" s="141" t="s">
        <v>778</v>
      </c>
      <c r="F69" s="145">
        <v>0.73913043737411499</v>
      </c>
      <c r="G69" s="141">
        <v>15</v>
      </c>
      <c r="H69" s="141">
        <v>21</v>
      </c>
      <c r="I69" s="142">
        <v>0.71</v>
      </c>
      <c r="J69" s="142">
        <v>0.37</v>
      </c>
      <c r="K69" s="142">
        <v>1.39</v>
      </c>
      <c r="L69" s="141" t="s">
        <v>835</v>
      </c>
      <c r="M69" s="141">
        <v>73.900000000000006</v>
      </c>
      <c r="N69" s="181">
        <v>51.6</v>
      </c>
      <c r="O69" s="181">
        <v>89.8</v>
      </c>
      <c r="P69" s="181">
        <f t="shared" si="6"/>
        <v>22.300000000000004</v>
      </c>
      <c r="Q69" s="181">
        <f t="shared" si="7"/>
        <v>15.899999999999991</v>
      </c>
      <c r="R69" s="144">
        <v>0.57999999999999996</v>
      </c>
      <c r="S69" s="144">
        <v>0.97</v>
      </c>
      <c r="T69" s="145">
        <v>0.11799999999999999</v>
      </c>
      <c r="U69" t="str">
        <f t="shared" si="11"/>
        <v>RKB</v>
      </c>
      <c r="V69">
        <f t="shared" si="12"/>
        <v>1</v>
      </c>
      <c r="W69">
        <f t="shared" si="13"/>
        <v>3</v>
      </c>
      <c r="X69" s="46">
        <f>IF('Amputation Summary'!$Q$33=2,RANK(S69,S$8:S$76,1)+COUNTIF($S$8:S69,S69)-1,IF('Amputation Summary'!$Q$33=1,RANK(R69,R$8:R$76,1)+COUNTIF($R69:R69,R69)-1))</f>
        <v>16</v>
      </c>
      <c r="Y69" s="8">
        <f>IF( 'Amputation Summary'!$Q$33=2, S69, IF('Amputation Summary'!$Q$33=1,R69))</f>
        <v>0.57999999999999996</v>
      </c>
      <c r="Z69" s="11">
        <v>8</v>
      </c>
      <c r="AA69">
        <v>3</v>
      </c>
      <c r="AB69">
        <f t="shared" si="8"/>
        <v>5</v>
      </c>
      <c r="AC69">
        <v>33</v>
      </c>
      <c r="AD69">
        <f t="shared" si="9"/>
        <v>25</v>
      </c>
      <c r="AE69">
        <v>39</v>
      </c>
      <c r="AF69" s="46">
        <f t="shared" si="10"/>
        <v>39</v>
      </c>
      <c r="AG69" s="11">
        <f>IF('Amputation Summary'!$O$4=2, M69, IF('Amputation Summary'!$O$4=1,Z69))</f>
        <v>8</v>
      </c>
      <c r="AH69" s="11">
        <f>IF('Amputation Summary'!$O$4=2, P69, IF('Amputation Summary'!$O$4=1,AB69))</f>
        <v>5</v>
      </c>
      <c r="AI69" s="11">
        <f>IF('Amputation Summary'!$O$4=2, Q69, IF('Amputation Summary'!$O$4=1,AD69))</f>
        <v>25</v>
      </c>
      <c r="AJ69">
        <v>1</v>
      </c>
      <c r="AK69" s="152">
        <f t="shared" si="14"/>
        <v>0.67999999999999994</v>
      </c>
      <c r="AL69" s="152">
        <f t="shared" si="15"/>
        <v>0.33999999999999997</v>
      </c>
      <c r="AM69">
        <v>15</v>
      </c>
    </row>
    <row r="70" spans="1:39" x14ac:dyDescent="0.25">
      <c r="A70" s="139" t="s">
        <v>501</v>
      </c>
      <c r="B70" s="139" t="s">
        <v>502</v>
      </c>
      <c r="C70" s="140">
        <v>30</v>
      </c>
      <c r="D70" s="140">
        <v>88</v>
      </c>
      <c r="E70" s="141" t="s">
        <v>233</v>
      </c>
      <c r="F70" s="145">
        <v>0.94117647409439087</v>
      </c>
      <c r="G70" s="141">
        <v>18</v>
      </c>
      <c r="H70" s="141">
        <v>12</v>
      </c>
      <c r="I70" s="142">
        <v>1.5</v>
      </c>
      <c r="J70" s="142">
        <v>0.72</v>
      </c>
      <c r="K70" s="142">
        <v>3.11</v>
      </c>
      <c r="L70" s="141" t="s">
        <v>836</v>
      </c>
      <c r="M70" s="141">
        <v>94.1</v>
      </c>
      <c r="N70" s="181">
        <v>71.3</v>
      </c>
      <c r="O70" s="181">
        <v>99.9</v>
      </c>
      <c r="P70" s="181">
        <f t="shared" si="6"/>
        <v>22.799999999999997</v>
      </c>
      <c r="Q70" s="181">
        <f t="shared" si="7"/>
        <v>5.8000000000000114</v>
      </c>
      <c r="R70" s="144">
        <v>0.97</v>
      </c>
      <c r="S70" s="144">
        <v>1</v>
      </c>
      <c r="T70" s="145">
        <v>3.1E-2</v>
      </c>
      <c r="U70" t="str">
        <f t="shared" si="11"/>
        <v>R0D</v>
      </c>
      <c r="V70">
        <f t="shared" si="12"/>
        <v>4</v>
      </c>
      <c r="W70">
        <f t="shared" si="13"/>
        <v>4</v>
      </c>
      <c r="X70" s="46">
        <f>IF('Amputation Summary'!$Q$33=2,RANK(S70,S$8:S$76,1)+COUNTIF($S$8:S70,S70)-1,IF('Amputation Summary'!$Q$33=1,RANK(R70,R$8:R$76,1)+COUNTIF($R70:R70,R70)-1))</f>
        <v>54</v>
      </c>
      <c r="Y70" s="8">
        <f>IF( 'Amputation Summary'!$Q$33=2, S70, IF('Amputation Summary'!$Q$33=1,R70))</f>
        <v>0.97</v>
      </c>
      <c r="Z70" s="11">
        <v>5</v>
      </c>
      <c r="AA70">
        <v>2</v>
      </c>
      <c r="AB70">
        <f t="shared" si="8"/>
        <v>3</v>
      </c>
      <c r="AC70">
        <v>12</v>
      </c>
      <c r="AD70">
        <f t="shared" si="9"/>
        <v>7</v>
      </c>
      <c r="AE70">
        <v>18</v>
      </c>
      <c r="AF70" s="46">
        <f t="shared" si="10"/>
        <v>18</v>
      </c>
      <c r="AG70" s="11">
        <f>IF('Amputation Summary'!$O$4=2, M70, IF('Amputation Summary'!$O$4=1,Z70))</f>
        <v>5</v>
      </c>
      <c r="AH70" s="11">
        <f>IF('Amputation Summary'!$O$4=2, P70, IF('Amputation Summary'!$O$4=1,AB70))</f>
        <v>3</v>
      </c>
      <c r="AI70" s="11">
        <f>IF('Amputation Summary'!$O$4=2, Q70, IF('Amputation Summary'!$O$4=1,AD70))</f>
        <v>7</v>
      </c>
      <c r="AJ70">
        <v>1</v>
      </c>
      <c r="AK70" s="152">
        <f t="shared" si="14"/>
        <v>1.6099999999999999</v>
      </c>
      <c r="AL70" s="152">
        <f t="shared" si="15"/>
        <v>0.78</v>
      </c>
      <c r="AM70">
        <v>52</v>
      </c>
    </row>
    <row r="71" spans="1:39" x14ac:dyDescent="0.25">
      <c r="A71" s="139" t="s">
        <v>95</v>
      </c>
      <c r="B71" s="139" t="s">
        <v>285</v>
      </c>
      <c r="C71" s="140">
        <v>26</v>
      </c>
      <c r="D71" s="140">
        <v>105</v>
      </c>
      <c r="E71" s="141" t="s">
        <v>188</v>
      </c>
      <c r="F71" s="145">
        <v>1</v>
      </c>
      <c r="G71" s="141">
        <v>15</v>
      </c>
      <c r="H71" s="141">
        <v>11</v>
      </c>
      <c r="I71" s="142">
        <v>1.36</v>
      </c>
      <c r="J71" s="142">
        <v>0.63</v>
      </c>
      <c r="K71" s="142">
        <v>2.97</v>
      </c>
      <c r="L71" s="141" t="s">
        <v>837</v>
      </c>
      <c r="M71" s="141">
        <v>100</v>
      </c>
      <c r="N71" s="181">
        <v>79.400000000000006</v>
      </c>
      <c r="O71" s="181">
        <v>100</v>
      </c>
      <c r="P71" s="181">
        <f t="shared" si="6"/>
        <v>20.599999999999994</v>
      </c>
      <c r="Q71" s="181">
        <f t="shared" si="7"/>
        <v>0</v>
      </c>
      <c r="R71" s="144">
        <v>0.96</v>
      </c>
      <c r="S71" s="144">
        <v>1</v>
      </c>
      <c r="T71" s="145">
        <v>5.7000000000000002E-2</v>
      </c>
      <c r="U71" t="str">
        <f t="shared" si="11"/>
        <v>RTG</v>
      </c>
      <c r="V71">
        <f t="shared" si="12"/>
        <v>4</v>
      </c>
      <c r="W71">
        <f t="shared" si="13"/>
        <v>4</v>
      </c>
      <c r="X71" s="46">
        <f>IF('Amputation Summary'!$Q$33=2,RANK(S71,S$8:S$76,1)+COUNTIF($S$8:S71,S71)-1,IF('Amputation Summary'!$Q$33=1,RANK(R71,R$8:R$76,1)+COUNTIF($R71:R71,R71)-1))</f>
        <v>51</v>
      </c>
      <c r="Y71" s="8">
        <f>IF( 'Amputation Summary'!$Q$33=2, S71, IF('Amputation Summary'!$Q$33=1,R71))</f>
        <v>0.96</v>
      </c>
      <c r="Z71" s="11">
        <v>3</v>
      </c>
      <c r="AA71">
        <v>2</v>
      </c>
      <c r="AB71">
        <f t="shared" si="8"/>
        <v>1</v>
      </c>
      <c r="AC71">
        <v>5</v>
      </c>
      <c r="AD71">
        <f t="shared" si="9"/>
        <v>2</v>
      </c>
      <c r="AE71">
        <v>9</v>
      </c>
      <c r="AF71" s="46">
        <f t="shared" si="10"/>
        <v>9</v>
      </c>
      <c r="AG71" s="11">
        <f>IF('Amputation Summary'!$O$4=2, M71, IF('Amputation Summary'!$O$4=1,Z71))</f>
        <v>3</v>
      </c>
      <c r="AH71" s="11">
        <f>IF('Amputation Summary'!$O$4=2, P71, IF('Amputation Summary'!$O$4=1,AB71))</f>
        <v>1</v>
      </c>
      <c r="AI71" s="11">
        <f>IF('Amputation Summary'!$O$4=2, Q71, IF('Amputation Summary'!$O$4=1,AD71))</f>
        <v>2</v>
      </c>
      <c r="AJ71">
        <v>1</v>
      </c>
      <c r="AK71" s="152">
        <f t="shared" si="14"/>
        <v>1.61</v>
      </c>
      <c r="AL71" s="152">
        <f t="shared" si="15"/>
        <v>0.73000000000000009</v>
      </c>
      <c r="AM71">
        <v>47</v>
      </c>
    </row>
    <row r="72" spans="1:39" x14ac:dyDescent="0.25">
      <c r="A72" s="139" t="s">
        <v>109</v>
      </c>
      <c r="B72" s="139" t="s">
        <v>110</v>
      </c>
      <c r="C72" s="140">
        <v>45</v>
      </c>
      <c r="D72" s="140">
        <v>141</v>
      </c>
      <c r="E72" s="141" t="s">
        <v>779</v>
      </c>
      <c r="F72" s="145">
        <v>0.8888888955116272</v>
      </c>
      <c r="G72" s="141">
        <v>20</v>
      </c>
      <c r="H72" s="141">
        <v>25</v>
      </c>
      <c r="I72" s="142">
        <v>0.8</v>
      </c>
      <c r="J72" s="142">
        <v>0.44</v>
      </c>
      <c r="K72" s="142">
        <v>1.44</v>
      </c>
      <c r="L72" s="141" t="s">
        <v>838</v>
      </c>
      <c r="M72" s="141">
        <v>88.9</v>
      </c>
      <c r="N72" s="181">
        <v>73.900000000000006</v>
      </c>
      <c r="O72" s="181">
        <v>96.9</v>
      </c>
      <c r="P72" s="181">
        <f t="shared" si="6"/>
        <v>15</v>
      </c>
      <c r="Q72" s="181">
        <f t="shared" si="7"/>
        <v>8</v>
      </c>
      <c r="R72" s="144">
        <v>0.64</v>
      </c>
      <c r="S72" s="144">
        <v>0.8</v>
      </c>
      <c r="T72" s="145">
        <v>5.5E-2</v>
      </c>
      <c r="U72" t="str">
        <f t="shared" si="11"/>
        <v>RWE</v>
      </c>
      <c r="V72">
        <f t="shared" si="12"/>
        <v>2</v>
      </c>
      <c r="W72">
        <f t="shared" si="13"/>
        <v>1</v>
      </c>
      <c r="X72" s="46">
        <f>IF('Amputation Summary'!$Q$33=2,RANK(S72,S$8:S$76,1)+COUNTIF($S$8:S72,S72)-1,IF('Amputation Summary'!$Q$33=1,RANK(R72,R$8:R$76,1)+COUNTIF($R72:R72,R72)-1))</f>
        <v>18</v>
      </c>
      <c r="Y72" s="8">
        <f>IF( 'Amputation Summary'!$Q$33=2, S72, IF('Amputation Summary'!$Q$33=1,R72))</f>
        <v>0.64</v>
      </c>
      <c r="Z72" s="11">
        <v>8</v>
      </c>
      <c r="AA72">
        <v>2</v>
      </c>
      <c r="AB72">
        <f t="shared" si="8"/>
        <v>6</v>
      </c>
      <c r="AC72">
        <v>18</v>
      </c>
      <c r="AD72">
        <f t="shared" si="9"/>
        <v>10</v>
      </c>
      <c r="AE72">
        <v>37</v>
      </c>
      <c r="AF72" s="46">
        <f t="shared" si="10"/>
        <v>37</v>
      </c>
      <c r="AG72" s="11">
        <f>IF('Amputation Summary'!$O$4=2, M72, IF('Amputation Summary'!$O$4=1,Z72))</f>
        <v>8</v>
      </c>
      <c r="AH72" s="11">
        <f>IF('Amputation Summary'!$O$4=2, P72, IF('Amputation Summary'!$O$4=1,AB72))</f>
        <v>6</v>
      </c>
      <c r="AI72" s="11">
        <f>IF('Amputation Summary'!$O$4=2, Q72, IF('Amputation Summary'!$O$4=1,AD72))</f>
        <v>10</v>
      </c>
      <c r="AJ72">
        <v>1</v>
      </c>
      <c r="AK72" s="152">
        <f t="shared" si="14"/>
        <v>0.6399999999999999</v>
      </c>
      <c r="AL72" s="152">
        <f t="shared" si="15"/>
        <v>0.36000000000000004</v>
      </c>
      <c r="AM72">
        <v>20</v>
      </c>
    </row>
    <row r="73" spans="1:39" x14ac:dyDescent="0.25">
      <c r="A73" s="139" t="s">
        <v>60</v>
      </c>
      <c r="B73" s="139" t="s">
        <v>169</v>
      </c>
      <c r="C73" s="140">
        <v>22</v>
      </c>
      <c r="D73" s="140">
        <v>68</v>
      </c>
      <c r="E73" s="141" t="s">
        <v>780</v>
      </c>
      <c r="F73" s="145">
        <v>0.94736844301223755</v>
      </c>
      <c r="G73" s="141">
        <v>10</v>
      </c>
      <c r="H73" s="141">
        <v>12</v>
      </c>
      <c r="I73" s="142">
        <v>0.83</v>
      </c>
      <c r="J73" s="142">
        <v>0.36</v>
      </c>
      <c r="K73" s="142">
        <v>1.93</v>
      </c>
      <c r="L73" s="141" t="s">
        <v>557</v>
      </c>
      <c r="M73" s="141">
        <v>94.7</v>
      </c>
      <c r="N73" s="181">
        <v>74</v>
      </c>
      <c r="O73" s="181">
        <v>99.9</v>
      </c>
      <c r="P73" s="181">
        <f t="shared" ref="P73:P76" si="16">M73-N73</f>
        <v>20.700000000000003</v>
      </c>
      <c r="Q73" s="181">
        <f t="shared" ref="Q73:Q76" si="17">O73-M73</f>
        <v>5.2000000000000028</v>
      </c>
      <c r="R73" s="144">
        <v>0.86</v>
      </c>
      <c r="S73" s="144">
        <v>0.91</v>
      </c>
      <c r="T73" s="145">
        <v>2.7E-2</v>
      </c>
      <c r="U73" t="str">
        <f t="shared" si="11"/>
        <v>RK9</v>
      </c>
      <c r="V73">
        <f t="shared" si="12"/>
        <v>3</v>
      </c>
      <c r="W73">
        <f t="shared" si="13"/>
        <v>3</v>
      </c>
      <c r="X73" s="46">
        <f>IF('Amputation Summary'!$Q$33=2,RANK(S73,S$8:S$76,1)+COUNTIF($S$8:S73,S73)-1,IF('Amputation Summary'!$Q$33=1,RANK(R73,R$8:R$76,1)+COUNTIF($R73:R73,R73)-1))</f>
        <v>31</v>
      </c>
      <c r="Y73" s="8">
        <f>IF( 'Amputation Summary'!$Q$33=2, S73, IF('Amputation Summary'!$Q$33=1,R73))</f>
        <v>0.86</v>
      </c>
      <c r="Z73" s="11">
        <v>10</v>
      </c>
      <c r="AA73">
        <v>6</v>
      </c>
      <c r="AB73">
        <f t="shared" ref="AB73:AB76" si="18">Z73-AA73</f>
        <v>4</v>
      </c>
      <c r="AC73">
        <v>22</v>
      </c>
      <c r="AD73">
        <f t="shared" ref="AD73:AD76" si="19">AC73-Z73</f>
        <v>12</v>
      </c>
      <c r="AE73">
        <v>54</v>
      </c>
      <c r="AF73" s="46">
        <f t="shared" ref="AF73:AF76" si="20">AE73</f>
        <v>54</v>
      </c>
      <c r="AG73" s="11">
        <f>IF('Amputation Summary'!$O$4=2, M73, IF('Amputation Summary'!$O$4=1,Z73))</f>
        <v>10</v>
      </c>
      <c r="AH73" s="11">
        <f>IF('Amputation Summary'!$O$4=2, P73, IF('Amputation Summary'!$O$4=1,AB73))</f>
        <v>4</v>
      </c>
      <c r="AI73" s="11">
        <f>IF('Amputation Summary'!$O$4=2, Q73, IF('Amputation Summary'!$O$4=1,AD73))</f>
        <v>12</v>
      </c>
      <c r="AJ73">
        <v>1</v>
      </c>
      <c r="AK73" s="152">
        <f t="shared" ref="AK73:AK76" si="21">K73-I73</f>
        <v>1.1000000000000001</v>
      </c>
      <c r="AL73" s="152">
        <f t="shared" ref="AL73:AL76" si="22">I73-J73</f>
        <v>0.47</v>
      </c>
      <c r="AM73">
        <v>24</v>
      </c>
    </row>
    <row r="74" spans="1:39" x14ac:dyDescent="0.25">
      <c r="A74" s="139" t="s">
        <v>111</v>
      </c>
      <c r="B74" s="139" t="s">
        <v>723</v>
      </c>
      <c r="C74" s="140">
        <v>7</v>
      </c>
      <c r="D74" s="140">
        <v>23</v>
      </c>
      <c r="E74" s="141" t="s">
        <v>781</v>
      </c>
      <c r="F74" s="145">
        <v>0.75</v>
      </c>
      <c r="G74" s="141">
        <v>1</v>
      </c>
      <c r="H74" s="141">
        <v>6</v>
      </c>
      <c r="I74" s="142">
        <v>0.17</v>
      </c>
      <c r="J74" s="142">
        <v>0.02</v>
      </c>
      <c r="K74" s="142">
        <v>1.38</v>
      </c>
      <c r="L74" s="141" t="s">
        <v>839</v>
      </c>
      <c r="M74" s="141">
        <v>75</v>
      </c>
      <c r="N74" s="181">
        <v>19.399999999999999</v>
      </c>
      <c r="O74" s="181">
        <v>99.4</v>
      </c>
      <c r="P74" s="181">
        <f t="shared" si="16"/>
        <v>55.6</v>
      </c>
      <c r="Q74" s="181">
        <f t="shared" si="17"/>
        <v>24.400000000000006</v>
      </c>
      <c r="R74" s="144">
        <v>0.86</v>
      </c>
      <c r="S74" s="144">
        <v>0.56999999999999995</v>
      </c>
      <c r="T74" s="145">
        <v>6.8000000000000005E-2</v>
      </c>
      <c r="U74" t="str">
        <f t="shared" si="11"/>
        <v>RWG</v>
      </c>
      <c r="V74">
        <f t="shared" si="12"/>
        <v>3</v>
      </c>
      <c r="W74">
        <f t="shared" si="13"/>
        <v>1</v>
      </c>
      <c r="X74" s="46">
        <f>IF('Amputation Summary'!$Q$33=2,RANK(S74,S$8:S$76,1)+COUNTIF($S$8:S74,S74)-1,IF('Amputation Summary'!$Q$33=1,RANK(R74,R$8:R$76,1)+COUNTIF($R74:R74,R74)-1))</f>
        <v>31</v>
      </c>
      <c r="Y74" s="8">
        <f>IF( 'Amputation Summary'!$Q$33=2, S74, IF('Amputation Summary'!$Q$33=1,R74))</f>
        <v>0.86</v>
      </c>
      <c r="Z74" s="11">
        <v>14</v>
      </c>
      <c r="AA74">
        <v>3</v>
      </c>
      <c r="AB74">
        <f t="shared" si="18"/>
        <v>11</v>
      </c>
      <c r="AC74">
        <v>34</v>
      </c>
      <c r="AD74">
        <f t="shared" si="19"/>
        <v>20</v>
      </c>
      <c r="AE74">
        <v>61</v>
      </c>
      <c r="AF74" s="46">
        <f t="shared" si="20"/>
        <v>61</v>
      </c>
      <c r="AG74" s="11">
        <f>IF('Amputation Summary'!$O$4=2, M74, IF('Amputation Summary'!$O$4=1,Z74))</f>
        <v>14</v>
      </c>
      <c r="AH74" s="11">
        <f>IF('Amputation Summary'!$O$4=2, P74, IF('Amputation Summary'!$O$4=1,AB74))</f>
        <v>11</v>
      </c>
      <c r="AI74" s="11">
        <f>IF('Amputation Summary'!$O$4=2, Q74, IF('Amputation Summary'!$O$4=1,AD74))</f>
        <v>20</v>
      </c>
      <c r="AJ74">
        <v>1</v>
      </c>
      <c r="AK74" s="152">
        <f t="shared" si="21"/>
        <v>1.21</v>
      </c>
      <c r="AL74" s="152">
        <f t="shared" si="22"/>
        <v>0.15000000000000002</v>
      </c>
      <c r="AM74">
        <v>1</v>
      </c>
    </row>
    <row r="75" spans="1:39" x14ac:dyDescent="0.25">
      <c r="A75" s="139" t="s">
        <v>115</v>
      </c>
      <c r="B75" s="139" t="s">
        <v>116</v>
      </c>
      <c r="C75" s="140">
        <v>41</v>
      </c>
      <c r="D75" s="140">
        <v>120</v>
      </c>
      <c r="E75" s="141" t="s">
        <v>181</v>
      </c>
      <c r="F75" s="145">
        <v>1</v>
      </c>
      <c r="G75" s="141">
        <v>19</v>
      </c>
      <c r="H75" s="141">
        <v>22</v>
      </c>
      <c r="I75" s="142">
        <v>0.86</v>
      </c>
      <c r="J75" s="142">
        <v>0.47</v>
      </c>
      <c r="K75" s="142">
        <v>1.6</v>
      </c>
      <c r="L75" s="141" t="s">
        <v>840</v>
      </c>
      <c r="M75" s="141">
        <v>100</v>
      </c>
      <c r="N75" s="181">
        <v>89.1</v>
      </c>
      <c r="O75" s="181">
        <v>100</v>
      </c>
      <c r="P75" s="181">
        <f t="shared" si="16"/>
        <v>10.900000000000006</v>
      </c>
      <c r="Q75" s="181">
        <f t="shared" si="17"/>
        <v>0</v>
      </c>
      <c r="R75" s="144">
        <v>0.93</v>
      </c>
      <c r="S75" s="144">
        <v>0.98</v>
      </c>
      <c r="T75" s="145">
        <v>6.7000000000000004E-2</v>
      </c>
      <c r="U75" t="str">
        <f t="shared" si="11"/>
        <v>RWP</v>
      </c>
      <c r="V75">
        <f t="shared" si="12"/>
        <v>3</v>
      </c>
      <c r="W75">
        <f t="shared" si="13"/>
        <v>4</v>
      </c>
      <c r="X75" s="46">
        <f>IF('Amputation Summary'!$Q$33=2,RANK(S75,S$8:S$76,1)+COUNTIF($S$8:S75,S75)-1,IF('Amputation Summary'!$Q$33=1,RANK(R75,R$8:R$76,1)+COUNTIF($R75:R75,R75)-1))</f>
        <v>48</v>
      </c>
      <c r="Y75" s="8">
        <f>IF( 'Amputation Summary'!$Q$33=2, S75, IF('Amputation Summary'!$Q$33=1,R75))</f>
        <v>0.93</v>
      </c>
      <c r="Z75" s="11">
        <v>4</v>
      </c>
      <c r="AA75">
        <v>2</v>
      </c>
      <c r="AB75">
        <f t="shared" si="18"/>
        <v>2</v>
      </c>
      <c r="AC75">
        <v>8</v>
      </c>
      <c r="AD75">
        <f t="shared" si="19"/>
        <v>4</v>
      </c>
      <c r="AE75">
        <v>11</v>
      </c>
      <c r="AF75" s="46">
        <f t="shared" si="20"/>
        <v>11</v>
      </c>
      <c r="AG75" s="11">
        <f>IF('Amputation Summary'!$O$4=2, M75, IF('Amputation Summary'!$O$4=1,Z75))</f>
        <v>4</v>
      </c>
      <c r="AH75" s="11">
        <f>IF('Amputation Summary'!$O$4=2, P75, IF('Amputation Summary'!$O$4=1,AB75))</f>
        <v>2</v>
      </c>
      <c r="AI75" s="11">
        <f>IF('Amputation Summary'!$O$4=2, Q75, IF('Amputation Summary'!$O$4=1,AD75))</f>
        <v>4</v>
      </c>
      <c r="AJ75">
        <v>1</v>
      </c>
      <c r="AK75" s="152">
        <f t="shared" si="21"/>
        <v>0.7400000000000001</v>
      </c>
      <c r="AL75" s="152">
        <f t="shared" si="22"/>
        <v>0.39</v>
      </c>
      <c r="AM75">
        <v>25</v>
      </c>
    </row>
    <row r="76" spans="1:39" x14ac:dyDescent="0.25">
      <c r="A76" s="139" t="s">
        <v>25</v>
      </c>
      <c r="B76" s="139" t="s">
        <v>26</v>
      </c>
      <c r="C76" s="140">
        <v>39</v>
      </c>
      <c r="D76" s="140">
        <v>106</v>
      </c>
      <c r="E76" s="141" t="s">
        <v>782</v>
      </c>
      <c r="F76" s="145">
        <v>0.74074071645736694</v>
      </c>
      <c r="G76" s="141">
        <v>19</v>
      </c>
      <c r="H76" s="141">
        <v>20</v>
      </c>
      <c r="I76" s="142">
        <v>0.95</v>
      </c>
      <c r="J76" s="142">
        <v>0.51</v>
      </c>
      <c r="K76" s="142">
        <v>1.78</v>
      </c>
      <c r="L76" s="141" t="s">
        <v>841</v>
      </c>
      <c r="M76" s="141">
        <v>74.099999999999994</v>
      </c>
      <c r="N76" s="181">
        <v>53.7</v>
      </c>
      <c r="O76" s="181">
        <v>88.9</v>
      </c>
      <c r="P76" s="181">
        <f t="shared" si="16"/>
        <v>20.399999999999991</v>
      </c>
      <c r="Q76" s="181">
        <f t="shared" si="17"/>
        <v>14.800000000000011</v>
      </c>
      <c r="R76" s="144">
        <v>0.85</v>
      </c>
      <c r="S76" s="144">
        <v>0.9</v>
      </c>
      <c r="T76" s="145">
        <v>0.13</v>
      </c>
      <c r="U76" t="str">
        <f t="shared" si="11"/>
        <v>RCB</v>
      </c>
      <c r="V76">
        <f t="shared" si="12"/>
        <v>2</v>
      </c>
      <c r="W76">
        <f t="shared" si="13"/>
        <v>2</v>
      </c>
      <c r="X76" s="46">
        <f>IF('Amputation Summary'!$Q$33=2,RANK(S76,S$8:S$76,1)+COUNTIF($S$8:S76,S76)-1,IF('Amputation Summary'!$Q$33=1,RANK(R76,R$8:R$76,1)+COUNTIF($R76:R76,R76)-1))</f>
        <v>29</v>
      </c>
      <c r="Y76" s="8">
        <f>IF( 'Amputation Summary'!$Q$33=2, S76, IF('Amputation Summary'!$Q$33=1,R76))</f>
        <v>0.85</v>
      </c>
      <c r="Z76" s="11">
        <v>4</v>
      </c>
      <c r="AA76">
        <v>1</v>
      </c>
      <c r="AB76">
        <f t="shared" si="18"/>
        <v>3</v>
      </c>
      <c r="AC76">
        <v>34</v>
      </c>
      <c r="AD76">
        <f t="shared" si="19"/>
        <v>30</v>
      </c>
      <c r="AE76">
        <v>10</v>
      </c>
      <c r="AF76" s="46">
        <f t="shared" si="20"/>
        <v>10</v>
      </c>
      <c r="AG76" s="11">
        <f>IF('Amputation Summary'!$O$4=2, M76, IF('Amputation Summary'!$O$4=1,Z76))</f>
        <v>4</v>
      </c>
      <c r="AH76" s="11">
        <f>IF('Amputation Summary'!$O$4=2, P76, IF('Amputation Summary'!$O$4=1,AB76))</f>
        <v>3</v>
      </c>
      <c r="AI76" s="11">
        <f>IF('Amputation Summary'!$O$4=2, Q76, IF('Amputation Summary'!$O$4=1,AD76))</f>
        <v>30</v>
      </c>
      <c r="AJ76">
        <v>1</v>
      </c>
      <c r="AK76" s="152">
        <f t="shared" si="21"/>
        <v>0.83000000000000007</v>
      </c>
      <c r="AL76" s="152">
        <f t="shared" si="22"/>
        <v>0.43999999999999995</v>
      </c>
      <c r="AM76">
        <v>29</v>
      </c>
    </row>
  </sheetData>
  <sortState ref="A2:P79">
    <sortCondition ref="B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Normal="100" workbookViewId="0">
      <selection activeCell="E1" sqref="E1"/>
    </sheetView>
  </sheetViews>
  <sheetFormatPr defaultRowHeight="15" x14ac:dyDescent="0.25"/>
  <cols>
    <col min="1" max="1" width="15.28515625" bestFit="1" customWidth="1"/>
    <col min="2" max="2" width="11" style="76" bestFit="1" customWidth="1"/>
    <col min="3" max="3" width="8.5703125" style="76" bestFit="1" customWidth="1"/>
    <col min="4" max="4" width="8.5703125" bestFit="1" customWidth="1"/>
  </cols>
  <sheetData>
    <row r="1" spans="1:5" x14ac:dyDescent="0.25">
      <c r="A1" t="s">
        <v>297</v>
      </c>
      <c r="B1" s="76" t="s">
        <v>298</v>
      </c>
      <c r="C1" s="76" t="s">
        <v>300</v>
      </c>
      <c r="D1" t="s">
        <v>301</v>
      </c>
      <c r="E1" t="s">
        <v>351</v>
      </c>
    </row>
    <row r="2" spans="1:5" x14ac:dyDescent="0.25">
      <c r="A2" t="s">
        <v>344</v>
      </c>
      <c r="B2" s="178">
        <v>0</v>
      </c>
      <c r="C2" s="8">
        <v>0.6</v>
      </c>
      <c r="D2" s="179">
        <v>6.6000000000000003E-2</v>
      </c>
      <c r="E2" s="179"/>
    </row>
    <row r="3" spans="1:5" x14ac:dyDescent="0.25">
      <c r="A3" t="s">
        <v>344</v>
      </c>
      <c r="B3" s="187">
        <v>7</v>
      </c>
      <c r="C3" s="8">
        <v>0.5</v>
      </c>
      <c r="D3" s="179">
        <v>6.6000000000000003E-2</v>
      </c>
      <c r="E3" s="179"/>
    </row>
    <row r="4" spans="1:5" x14ac:dyDescent="0.25">
      <c r="A4" t="s">
        <v>344</v>
      </c>
      <c r="B4" s="187">
        <v>11</v>
      </c>
      <c r="C4" s="8">
        <v>0.45</v>
      </c>
      <c r="D4" s="179">
        <v>6.6000000000000003E-2</v>
      </c>
      <c r="E4" s="179"/>
    </row>
    <row r="5" spans="1:5" x14ac:dyDescent="0.25">
      <c r="A5" t="s">
        <v>344</v>
      </c>
      <c r="B5" s="187">
        <v>13</v>
      </c>
      <c r="C5" s="8">
        <v>0.4</v>
      </c>
      <c r="D5" s="179">
        <v>6.6000000000000003E-2</v>
      </c>
      <c r="E5" s="179"/>
    </row>
    <row r="6" spans="1:5" x14ac:dyDescent="0.25">
      <c r="A6" t="s">
        <v>344</v>
      </c>
      <c r="B6" s="187">
        <v>17</v>
      </c>
      <c r="C6" s="8">
        <v>0.35</v>
      </c>
      <c r="D6" s="179">
        <v>6.6000000000000003E-2</v>
      </c>
      <c r="E6" s="179"/>
    </row>
    <row r="7" spans="1:5" x14ac:dyDescent="0.25">
      <c r="A7" t="s">
        <v>344</v>
      </c>
      <c r="B7" s="187">
        <v>22</v>
      </c>
      <c r="C7" s="8">
        <v>0.3</v>
      </c>
      <c r="D7" s="179">
        <v>6.6000000000000003E-2</v>
      </c>
      <c r="E7" s="179"/>
    </row>
    <row r="8" spans="1:5" x14ac:dyDescent="0.25">
      <c r="A8" t="s">
        <v>344</v>
      </c>
      <c r="B8" s="187">
        <v>28</v>
      </c>
      <c r="C8" s="8">
        <v>0.27100000000000002</v>
      </c>
      <c r="D8" s="179">
        <v>6.6000000000000003E-2</v>
      </c>
      <c r="E8" s="179"/>
    </row>
    <row r="9" spans="1:5" x14ac:dyDescent="0.25">
      <c r="A9" t="s">
        <v>344</v>
      </c>
      <c r="B9" s="187">
        <v>35</v>
      </c>
      <c r="C9" s="8">
        <v>0.24399999999999999</v>
      </c>
      <c r="D9" s="179">
        <v>6.6000000000000003E-2</v>
      </c>
      <c r="E9" s="179"/>
    </row>
    <row r="10" spans="1:5" x14ac:dyDescent="0.25">
      <c r="A10" t="s">
        <v>344</v>
      </c>
      <c r="B10" s="187">
        <v>40</v>
      </c>
      <c r="C10" s="8">
        <v>0.22500000000000001</v>
      </c>
      <c r="D10" s="179">
        <v>6.6000000000000003E-2</v>
      </c>
      <c r="E10" s="179"/>
    </row>
    <row r="11" spans="1:5" x14ac:dyDescent="0.25">
      <c r="A11" t="s">
        <v>344</v>
      </c>
      <c r="B11" s="187">
        <v>43</v>
      </c>
      <c r="C11" s="8">
        <v>0.222</v>
      </c>
      <c r="D11" s="179">
        <v>6.6000000000000003E-2</v>
      </c>
      <c r="E11" s="179"/>
    </row>
    <row r="12" spans="1:5" x14ac:dyDescent="0.25">
      <c r="A12" t="s">
        <v>344</v>
      </c>
      <c r="B12" s="187">
        <v>50</v>
      </c>
      <c r="C12" s="8">
        <v>0.20799999999999999</v>
      </c>
      <c r="D12" s="179">
        <v>6.6000000000000003E-2</v>
      </c>
      <c r="E12" s="179"/>
    </row>
    <row r="13" spans="1:5" x14ac:dyDescent="0.25">
      <c r="A13" t="s">
        <v>344</v>
      </c>
      <c r="B13" s="187">
        <v>67</v>
      </c>
      <c r="C13" s="8">
        <v>0.185</v>
      </c>
      <c r="D13" s="179">
        <v>6.6000000000000003E-2</v>
      </c>
      <c r="E13" s="179"/>
    </row>
    <row r="14" spans="1:5" x14ac:dyDescent="0.25">
      <c r="A14" t="s">
        <v>344</v>
      </c>
      <c r="B14" s="187">
        <v>68</v>
      </c>
      <c r="C14" s="8">
        <v>0.184</v>
      </c>
      <c r="D14" s="179">
        <v>6.6000000000000003E-2</v>
      </c>
      <c r="E14" s="179"/>
    </row>
    <row r="15" spans="1:5" x14ac:dyDescent="0.25">
      <c r="A15" t="s">
        <v>344</v>
      </c>
      <c r="B15" s="187">
        <v>88</v>
      </c>
      <c r="C15" s="8">
        <v>0.16700000000000001</v>
      </c>
      <c r="D15" s="179">
        <v>6.6000000000000003E-2</v>
      </c>
      <c r="E15" s="179"/>
    </row>
    <row r="16" spans="1:5" x14ac:dyDescent="0.25">
      <c r="A16" t="s">
        <v>344</v>
      </c>
      <c r="B16" s="187">
        <v>91</v>
      </c>
      <c r="C16" s="8">
        <v>0.16400000000000001</v>
      </c>
      <c r="D16" s="179">
        <v>6.6000000000000003E-2</v>
      </c>
      <c r="E16" s="179"/>
    </row>
    <row r="17" spans="1:5" x14ac:dyDescent="0.25">
      <c r="A17" t="s">
        <v>344</v>
      </c>
      <c r="B17" s="187">
        <v>94</v>
      </c>
      <c r="C17" s="8">
        <v>0.16300000000000001</v>
      </c>
      <c r="D17" s="179">
        <v>6.6000000000000003E-2</v>
      </c>
      <c r="E17" s="179"/>
    </row>
    <row r="18" spans="1:5" x14ac:dyDescent="0.25">
      <c r="A18" t="s">
        <v>344</v>
      </c>
      <c r="B18" s="187">
        <v>95</v>
      </c>
      <c r="C18" s="8">
        <v>0.16300000000000001</v>
      </c>
      <c r="D18" s="179">
        <v>6.6000000000000003E-2</v>
      </c>
      <c r="E18" s="179"/>
    </row>
    <row r="19" spans="1:5" x14ac:dyDescent="0.25">
      <c r="A19" t="s">
        <v>344</v>
      </c>
      <c r="B19" s="187">
        <v>96</v>
      </c>
      <c r="C19" s="8">
        <v>0.16200000000000001</v>
      </c>
      <c r="D19" s="179">
        <v>6.6000000000000003E-2</v>
      </c>
      <c r="E19" s="179"/>
    </row>
    <row r="20" spans="1:5" x14ac:dyDescent="0.25">
      <c r="A20" t="s">
        <v>344</v>
      </c>
      <c r="B20" s="187">
        <v>98</v>
      </c>
      <c r="C20" s="8">
        <v>0.161</v>
      </c>
      <c r="D20" s="179">
        <v>6.6000000000000003E-2</v>
      </c>
      <c r="E20" s="179"/>
    </row>
    <row r="21" spans="1:5" x14ac:dyDescent="0.25">
      <c r="A21" t="s">
        <v>344</v>
      </c>
      <c r="B21" s="187">
        <v>99</v>
      </c>
      <c r="C21" s="8">
        <v>0.16</v>
      </c>
      <c r="D21" s="179">
        <v>6.6000000000000003E-2</v>
      </c>
      <c r="E21" s="179"/>
    </row>
    <row r="22" spans="1:5" x14ac:dyDescent="0.25">
      <c r="A22" t="s">
        <v>344</v>
      </c>
      <c r="B22" s="187">
        <v>102</v>
      </c>
      <c r="C22" s="8">
        <v>0.158</v>
      </c>
      <c r="D22" s="179">
        <v>6.6000000000000003E-2</v>
      </c>
      <c r="E22" s="179"/>
    </row>
    <row r="23" spans="1:5" x14ac:dyDescent="0.25">
      <c r="A23" t="s">
        <v>344</v>
      </c>
      <c r="B23" s="187">
        <v>104</v>
      </c>
      <c r="C23" s="8">
        <v>0.158</v>
      </c>
      <c r="D23" s="179">
        <v>6.6000000000000003E-2</v>
      </c>
      <c r="E23" s="179"/>
    </row>
    <row r="24" spans="1:5" x14ac:dyDescent="0.25">
      <c r="A24" t="s">
        <v>344</v>
      </c>
      <c r="B24" s="187">
        <v>105</v>
      </c>
      <c r="C24" s="8">
        <v>0.157</v>
      </c>
      <c r="D24" s="179">
        <v>6.6000000000000003E-2</v>
      </c>
      <c r="E24" s="179"/>
    </row>
    <row r="25" spans="1:5" x14ac:dyDescent="0.25">
      <c r="A25" t="s">
        <v>344</v>
      </c>
      <c r="B25" s="187">
        <v>107</v>
      </c>
      <c r="C25" s="8">
        <v>0.156</v>
      </c>
      <c r="D25" s="179">
        <v>6.6000000000000003E-2</v>
      </c>
      <c r="E25" s="8">
        <v>1E-3</v>
      </c>
    </row>
    <row r="26" spans="1:5" x14ac:dyDescent="0.25">
      <c r="A26" t="s">
        <v>344</v>
      </c>
      <c r="B26" s="187">
        <v>108</v>
      </c>
      <c r="C26" s="8">
        <v>0.156</v>
      </c>
      <c r="D26" s="179">
        <v>6.6000000000000003E-2</v>
      </c>
      <c r="E26" s="8">
        <v>1E-3</v>
      </c>
    </row>
    <row r="27" spans="1:5" x14ac:dyDescent="0.25">
      <c r="A27" t="s">
        <v>344</v>
      </c>
      <c r="B27" s="187">
        <v>110</v>
      </c>
      <c r="C27" s="8">
        <v>0.154</v>
      </c>
      <c r="D27" s="179">
        <v>6.6000000000000003E-2</v>
      </c>
      <c r="E27" s="8">
        <v>1E-3</v>
      </c>
    </row>
    <row r="28" spans="1:5" x14ac:dyDescent="0.25">
      <c r="A28" t="s">
        <v>344</v>
      </c>
      <c r="B28" s="187">
        <v>111</v>
      </c>
      <c r="C28" s="8">
        <v>0.153</v>
      </c>
      <c r="D28" s="179">
        <v>6.6000000000000003E-2</v>
      </c>
      <c r="E28" s="8">
        <v>1E-3</v>
      </c>
    </row>
    <row r="29" spans="1:5" x14ac:dyDescent="0.25">
      <c r="A29" t="s">
        <v>344</v>
      </c>
      <c r="B29" s="187">
        <v>112</v>
      </c>
      <c r="C29" s="8">
        <v>0.153</v>
      </c>
      <c r="D29" s="179">
        <v>6.6000000000000003E-2</v>
      </c>
      <c r="E29" s="8">
        <v>1E-3</v>
      </c>
    </row>
    <row r="30" spans="1:5" x14ac:dyDescent="0.25">
      <c r="A30" t="s">
        <v>344</v>
      </c>
      <c r="B30" s="187">
        <v>113</v>
      </c>
      <c r="C30" s="8">
        <v>0.153</v>
      </c>
      <c r="D30" s="179">
        <v>6.6000000000000003E-2</v>
      </c>
      <c r="E30" s="8">
        <v>1E-3</v>
      </c>
    </row>
    <row r="31" spans="1:5" x14ac:dyDescent="0.25">
      <c r="A31" t="s">
        <v>344</v>
      </c>
      <c r="B31" s="187">
        <v>114</v>
      </c>
      <c r="C31" s="8">
        <v>0.153</v>
      </c>
      <c r="D31" s="179">
        <v>6.6000000000000003E-2</v>
      </c>
      <c r="E31" s="8">
        <v>2E-3</v>
      </c>
    </row>
    <row r="32" spans="1:5" x14ac:dyDescent="0.25">
      <c r="A32" t="s">
        <v>344</v>
      </c>
      <c r="B32" s="187">
        <v>115</v>
      </c>
      <c r="C32" s="8">
        <v>0.153</v>
      </c>
      <c r="D32" s="179">
        <v>6.6000000000000003E-2</v>
      </c>
      <c r="E32" s="8">
        <v>2E-3</v>
      </c>
    </row>
    <row r="33" spans="1:5" x14ac:dyDescent="0.25">
      <c r="A33" t="s">
        <v>344</v>
      </c>
      <c r="B33" s="187">
        <v>119</v>
      </c>
      <c r="C33" s="8">
        <v>0.15</v>
      </c>
      <c r="D33" s="179">
        <v>6.6000000000000003E-2</v>
      </c>
      <c r="E33" s="8">
        <v>2E-3</v>
      </c>
    </row>
    <row r="34" spans="1:5" x14ac:dyDescent="0.25">
      <c r="A34" t="s">
        <v>344</v>
      </c>
      <c r="B34" s="187">
        <v>121</v>
      </c>
      <c r="C34" s="8">
        <v>0.14899999999999999</v>
      </c>
      <c r="D34" s="179">
        <v>6.6000000000000003E-2</v>
      </c>
      <c r="E34" s="8">
        <v>3.0000000000000001E-3</v>
      </c>
    </row>
    <row r="35" spans="1:5" x14ac:dyDescent="0.25">
      <c r="A35" t="s">
        <v>344</v>
      </c>
      <c r="B35" s="187">
        <v>141</v>
      </c>
      <c r="C35" s="8">
        <v>0.14199999999999999</v>
      </c>
      <c r="D35" s="179">
        <v>6.6000000000000003E-2</v>
      </c>
      <c r="E35" s="8">
        <v>8.0000000000000002E-3</v>
      </c>
    </row>
    <row r="36" spans="1:5" x14ac:dyDescent="0.25">
      <c r="A36" t="s">
        <v>344</v>
      </c>
      <c r="B36" s="187">
        <v>147</v>
      </c>
      <c r="C36" s="8">
        <v>0.14099999999999999</v>
      </c>
      <c r="D36" s="179">
        <v>6.6000000000000003E-2</v>
      </c>
      <c r="E36" s="8">
        <v>8.0000000000000002E-3</v>
      </c>
    </row>
    <row r="37" spans="1:5" x14ac:dyDescent="0.25">
      <c r="A37" t="s">
        <v>344</v>
      </c>
      <c r="B37" s="187">
        <v>162</v>
      </c>
      <c r="C37" s="8">
        <v>0.13700000000000001</v>
      </c>
      <c r="D37" s="179">
        <v>6.6000000000000003E-2</v>
      </c>
      <c r="E37" s="8">
        <v>1.0999999999999999E-2</v>
      </c>
    </row>
    <row r="38" spans="1:5" x14ac:dyDescent="0.25">
      <c r="A38" t="s">
        <v>344</v>
      </c>
      <c r="B38" s="187">
        <v>174</v>
      </c>
      <c r="C38" s="8">
        <v>0.13400000000000001</v>
      </c>
      <c r="D38" s="179">
        <v>6.6000000000000003E-2</v>
      </c>
      <c r="E38" s="8">
        <v>1.2999999999999999E-2</v>
      </c>
    </row>
    <row r="39" spans="1:5" x14ac:dyDescent="0.25">
      <c r="A39" t="s">
        <v>344</v>
      </c>
      <c r="B39" s="187">
        <v>178</v>
      </c>
      <c r="C39" s="8">
        <v>0.13300000000000001</v>
      </c>
      <c r="D39" s="179">
        <v>6.6000000000000003E-2</v>
      </c>
      <c r="E39" s="8">
        <v>1.2999999999999999E-2</v>
      </c>
    </row>
    <row r="40" spans="1:5" x14ac:dyDescent="0.25">
      <c r="A40" t="s">
        <v>344</v>
      </c>
      <c r="B40" s="187">
        <v>181</v>
      </c>
      <c r="C40" s="8">
        <v>0.13200000000000001</v>
      </c>
      <c r="D40" s="179">
        <v>6.6000000000000003E-2</v>
      </c>
      <c r="E40" s="8">
        <v>1.2999999999999999E-2</v>
      </c>
    </row>
    <row r="41" spans="1:5" x14ac:dyDescent="0.25">
      <c r="A41" t="s">
        <v>344</v>
      </c>
      <c r="B41" s="187">
        <v>182</v>
      </c>
      <c r="C41" s="8">
        <v>0.13200000000000001</v>
      </c>
      <c r="D41" s="179">
        <v>6.6000000000000003E-2</v>
      </c>
      <c r="E41" s="8">
        <v>1.4E-2</v>
      </c>
    </row>
    <row r="42" spans="1:5" x14ac:dyDescent="0.25">
      <c r="A42" t="s">
        <v>344</v>
      </c>
      <c r="B42" s="187">
        <v>187</v>
      </c>
      <c r="C42" s="8">
        <v>0.13100000000000001</v>
      </c>
      <c r="D42" s="179">
        <v>6.6000000000000003E-2</v>
      </c>
      <c r="E42" s="8">
        <v>1.4E-2</v>
      </c>
    </row>
    <row r="43" spans="1:5" x14ac:dyDescent="0.25">
      <c r="A43" t="s">
        <v>344</v>
      </c>
      <c r="B43" s="187">
        <v>192</v>
      </c>
      <c r="C43" s="8">
        <v>0.13</v>
      </c>
      <c r="D43" s="179">
        <v>6.6000000000000003E-2</v>
      </c>
      <c r="E43" s="8">
        <v>1.6E-2</v>
      </c>
    </row>
    <row r="44" spans="1:5" x14ac:dyDescent="0.25">
      <c r="A44" t="s">
        <v>344</v>
      </c>
      <c r="B44" s="187">
        <v>193</v>
      </c>
      <c r="C44" s="8">
        <v>0.13</v>
      </c>
      <c r="D44" s="179">
        <v>6.6000000000000003E-2</v>
      </c>
      <c r="E44" s="8">
        <v>1.6E-2</v>
      </c>
    </row>
    <row r="45" spans="1:5" x14ac:dyDescent="0.25">
      <c r="A45" t="s">
        <v>344</v>
      </c>
      <c r="B45" s="187">
        <v>198</v>
      </c>
      <c r="C45" s="8">
        <v>0.129</v>
      </c>
      <c r="D45" s="179">
        <v>6.6000000000000003E-2</v>
      </c>
      <c r="E45" s="8">
        <v>1.6E-2</v>
      </c>
    </row>
    <row r="46" spans="1:5" x14ac:dyDescent="0.25">
      <c r="A46" t="s">
        <v>344</v>
      </c>
      <c r="B46" s="187">
        <v>199</v>
      </c>
      <c r="C46" s="8">
        <v>0.129</v>
      </c>
      <c r="D46" s="179">
        <v>6.6000000000000003E-2</v>
      </c>
      <c r="E46" s="8">
        <v>1.6E-2</v>
      </c>
    </row>
    <row r="47" spans="1:5" x14ac:dyDescent="0.25">
      <c r="A47" t="s">
        <v>344</v>
      </c>
      <c r="B47" s="187">
        <v>204</v>
      </c>
      <c r="C47" s="8">
        <v>0.128</v>
      </c>
      <c r="D47" s="179">
        <v>6.6000000000000003E-2</v>
      </c>
      <c r="E47" s="8">
        <v>1.6E-2</v>
      </c>
    </row>
    <row r="48" spans="1:5" x14ac:dyDescent="0.25">
      <c r="A48" t="s">
        <v>344</v>
      </c>
      <c r="B48" s="187">
        <v>206</v>
      </c>
      <c r="C48" s="8">
        <v>0.128</v>
      </c>
      <c r="D48" s="179">
        <v>6.6000000000000003E-2</v>
      </c>
      <c r="E48" s="8">
        <v>1.6E-2</v>
      </c>
    </row>
    <row r="49" spans="1:5" x14ac:dyDescent="0.25">
      <c r="A49" t="s">
        <v>344</v>
      </c>
      <c r="B49" s="187">
        <v>214</v>
      </c>
      <c r="C49" s="8">
        <v>0.126</v>
      </c>
      <c r="D49" s="179">
        <v>6.6000000000000003E-2</v>
      </c>
      <c r="E49" s="8">
        <v>1.7999999999999999E-2</v>
      </c>
    </row>
    <row r="50" spans="1:5" x14ac:dyDescent="0.25">
      <c r="A50" t="s">
        <v>344</v>
      </c>
      <c r="B50" s="187">
        <v>215</v>
      </c>
      <c r="C50" s="8">
        <v>0.126</v>
      </c>
      <c r="D50" s="179">
        <v>6.6000000000000003E-2</v>
      </c>
      <c r="E50" s="8">
        <v>1.7999999999999999E-2</v>
      </c>
    </row>
    <row r="51" spans="1:5" x14ac:dyDescent="0.25">
      <c r="A51" t="s">
        <v>344</v>
      </c>
      <c r="B51" s="187">
        <v>218</v>
      </c>
      <c r="C51" s="8">
        <v>0.126</v>
      </c>
      <c r="D51" s="179">
        <v>6.6000000000000003E-2</v>
      </c>
      <c r="E51" s="8">
        <v>1.7999999999999999E-2</v>
      </c>
    </row>
    <row r="52" spans="1:5" x14ac:dyDescent="0.25">
      <c r="A52" t="s">
        <v>344</v>
      </c>
      <c r="B52" s="187">
        <v>222</v>
      </c>
      <c r="C52" s="8">
        <v>0.125</v>
      </c>
      <c r="D52" s="179">
        <v>6.6000000000000003E-2</v>
      </c>
      <c r="E52" s="8">
        <v>1.7999999999999999E-2</v>
      </c>
    </row>
    <row r="53" spans="1:5" x14ac:dyDescent="0.25">
      <c r="A53" t="s">
        <v>344</v>
      </c>
      <c r="B53" s="187">
        <v>228</v>
      </c>
      <c r="C53" s="8">
        <v>0.125</v>
      </c>
      <c r="D53" s="179">
        <v>6.6000000000000003E-2</v>
      </c>
      <c r="E53" s="8">
        <v>1.9E-2</v>
      </c>
    </row>
    <row r="54" spans="1:5" x14ac:dyDescent="0.25">
      <c r="A54" t="s">
        <v>344</v>
      </c>
      <c r="B54" s="187">
        <v>231</v>
      </c>
      <c r="C54" s="8">
        <v>0.124</v>
      </c>
      <c r="D54" s="179">
        <v>6.6000000000000003E-2</v>
      </c>
      <c r="E54" s="8">
        <v>1.9E-2</v>
      </c>
    </row>
    <row r="55" spans="1:5" x14ac:dyDescent="0.25">
      <c r="A55" t="s">
        <v>344</v>
      </c>
      <c r="B55" s="187">
        <v>241</v>
      </c>
      <c r="C55" s="8">
        <v>0.123</v>
      </c>
      <c r="D55" s="179">
        <v>6.6000000000000003E-2</v>
      </c>
      <c r="E55" s="8">
        <v>0.02</v>
      </c>
    </row>
    <row r="56" spans="1:5" x14ac:dyDescent="0.25">
      <c r="A56" t="s">
        <v>344</v>
      </c>
      <c r="B56" s="187">
        <v>257</v>
      </c>
      <c r="C56" s="8">
        <v>0.12</v>
      </c>
      <c r="D56" s="179">
        <v>6.6000000000000003E-2</v>
      </c>
      <c r="E56" s="8">
        <v>2.1000000000000001E-2</v>
      </c>
    </row>
    <row r="57" spans="1:5" x14ac:dyDescent="0.25">
      <c r="A57" t="s">
        <v>344</v>
      </c>
      <c r="B57" s="187">
        <v>261</v>
      </c>
      <c r="C57" s="8">
        <v>0.12</v>
      </c>
      <c r="D57" s="179">
        <v>6.6000000000000003E-2</v>
      </c>
      <c r="E57" s="8">
        <v>2.1999999999999999E-2</v>
      </c>
    </row>
    <row r="58" spans="1:5" x14ac:dyDescent="0.25">
      <c r="A58" t="s">
        <v>344</v>
      </c>
      <c r="B58" s="187">
        <v>289</v>
      </c>
      <c r="C58" s="8">
        <v>0.11700000000000001</v>
      </c>
      <c r="D58" s="179">
        <v>6.6000000000000003E-2</v>
      </c>
      <c r="E58" s="8">
        <v>2.4E-2</v>
      </c>
    </row>
    <row r="59" spans="1:5" x14ac:dyDescent="0.25">
      <c r="A59" t="s">
        <v>344</v>
      </c>
      <c r="B59" s="187">
        <v>302</v>
      </c>
      <c r="C59" s="8">
        <v>0.11600000000000001</v>
      </c>
      <c r="D59" s="179">
        <v>6.6000000000000003E-2</v>
      </c>
      <c r="E59" s="8">
        <v>2.5000000000000001E-2</v>
      </c>
    </row>
    <row r="60" spans="1:5" x14ac:dyDescent="0.25">
      <c r="A60" t="s">
        <v>344</v>
      </c>
      <c r="B60" s="187">
        <v>330</v>
      </c>
      <c r="C60" s="8">
        <v>0.114</v>
      </c>
      <c r="D60" s="179">
        <v>6.6000000000000003E-2</v>
      </c>
      <c r="E60" s="8">
        <v>2.5999999999999999E-2</v>
      </c>
    </row>
    <row r="61" spans="1:5" x14ac:dyDescent="0.25">
      <c r="A61" t="s">
        <v>344</v>
      </c>
      <c r="B61" s="178">
        <v>350</v>
      </c>
      <c r="C61" s="180">
        <v>0.112</v>
      </c>
      <c r="D61" s="179">
        <v>6.6000000000000003E-2</v>
      </c>
      <c r="E61" s="179">
        <v>2.7000000000000003E-2</v>
      </c>
    </row>
  </sheetData>
  <sortState ref="A2:D87">
    <sortCondition ref="B2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49" workbookViewId="0">
      <selection activeCell="E69" sqref="E69"/>
    </sheetView>
  </sheetViews>
  <sheetFormatPr defaultRowHeight="15" x14ac:dyDescent="0.25"/>
  <cols>
    <col min="1" max="1" width="15.28515625" bestFit="1" customWidth="1"/>
    <col min="2" max="2" width="11" style="112" bestFit="1" customWidth="1"/>
    <col min="3" max="3" width="9" style="26" bestFit="1" customWidth="1"/>
    <col min="4" max="4" width="8.5703125" style="26" bestFit="1" customWidth="1"/>
    <col min="5" max="5" width="11" style="26" bestFit="1" customWidth="1"/>
  </cols>
  <sheetData>
    <row r="1" spans="1:5" x14ac:dyDescent="0.25">
      <c r="A1" t="s">
        <v>297</v>
      </c>
      <c r="B1" s="112" t="s">
        <v>298</v>
      </c>
      <c r="C1" s="26" t="s">
        <v>300</v>
      </c>
      <c r="D1" s="26" t="s">
        <v>301</v>
      </c>
      <c r="E1" s="26" t="s">
        <v>351</v>
      </c>
    </row>
    <row r="2" spans="1:5" x14ac:dyDescent="0.25">
      <c r="A2" t="s">
        <v>342</v>
      </c>
      <c r="B2" s="112">
        <v>0</v>
      </c>
      <c r="C2" s="53">
        <v>0.5</v>
      </c>
      <c r="D2" s="47">
        <v>2.8000000000000001E-2</v>
      </c>
      <c r="E2" s="53"/>
    </row>
    <row r="3" spans="1:5" x14ac:dyDescent="0.25">
      <c r="A3" t="s">
        <v>342</v>
      </c>
      <c r="B3" s="186">
        <v>12</v>
      </c>
      <c r="C3" s="32">
        <v>0.31597340106964111</v>
      </c>
      <c r="D3" s="47">
        <v>2.8000000000000001E-2</v>
      </c>
      <c r="E3" s="53"/>
    </row>
    <row r="4" spans="1:5" x14ac:dyDescent="0.25">
      <c r="A4" t="s">
        <v>342</v>
      </c>
      <c r="B4" s="186">
        <v>18</v>
      </c>
      <c r="C4" s="32">
        <v>0.23678825795650482</v>
      </c>
      <c r="D4" s="47">
        <v>2.8000000000000001E-2</v>
      </c>
      <c r="E4" s="53"/>
    </row>
    <row r="5" spans="1:5" x14ac:dyDescent="0.25">
      <c r="A5" t="s">
        <v>342</v>
      </c>
      <c r="B5" s="186">
        <v>46</v>
      </c>
      <c r="C5" s="32">
        <v>0.14046086370944977</v>
      </c>
      <c r="D5" s="47">
        <v>2.8000000000000001E-2</v>
      </c>
      <c r="E5" s="53"/>
    </row>
    <row r="6" spans="1:5" x14ac:dyDescent="0.25">
      <c r="A6" t="s">
        <v>342</v>
      </c>
      <c r="B6" s="186">
        <v>72</v>
      </c>
      <c r="C6" s="32">
        <v>0.11043610423803329</v>
      </c>
      <c r="D6" s="47">
        <v>2.8000000000000001E-2</v>
      </c>
      <c r="E6" s="53"/>
    </row>
    <row r="7" spans="1:5" x14ac:dyDescent="0.25">
      <c r="A7" t="s">
        <v>342</v>
      </c>
      <c r="B7" s="186">
        <v>73</v>
      </c>
      <c r="C7" s="32">
        <v>0.10932278633117676</v>
      </c>
      <c r="D7" s="47">
        <v>2.8000000000000001E-2</v>
      </c>
      <c r="E7" s="53"/>
    </row>
    <row r="8" spans="1:5" x14ac:dyDescent="0.25">
      <c r="A8" t="s">
        <v>342</v>
      </c>
      <c r="B8" s="186">
        <v>74</v>
      </c>
      <c r="C8" s="32">
        <v>0.10854385793209076</v>
      </c>
      <c r="D8" s="47">
        <v>2.8000000000000001E-2</v>
      </c>
      <c r="E8" s="53"/>
    </row>
    <row r="9" spans="1:5" x14ac:dyDescent="0.25">
      <c r="A9" t="s">
        <v>342</v>
      </c>
      <c r="B9" s="186">
        <v>86</v>
      </c>
      <c r="C9" s="32">
        <v>0.10264402627944946</v>
      </c>
      <c r="D9" s="47">
        <v>2.8000000000000001E-2</v>
      </c>
      <c r="E9" s="53"/>
    </row>
    <row r="10" spans="1:5" x14ac:dyDescent="0.25">
      <c r="A10" t="s">
        <v>342</v>
      </c>
      <c r="B10" s="186">
        <v>96</v>
      </c>
      <c r="C10" s="32">
        <v>9.7822166979312897E-2</v>
      </c>
      <c r="D10" s="47">
        <v>2.8000000000000001E-2</v>
      </c>
      <c r="E10" s="53"/>
    </row>
    <row r="11" spans="1:5" x14ac:dyDescent="0.25">
      <c r="A11" t="s">
        <v>342</v>
      </c>
      <c r="B11" s="186">
        <v>98</v>
      </c>
      <c r="C11" s="32">
        <v>9.713466465473175E-2</v>
      </c>
      <c r="D11" s="47">
        <v>2.8000000000000001E-2</v>
      </c>
      <c r="E11" s="53"/>
    </row>
    <row r="12" spans="1:5" x14ac:dyDescent="0.25">
      <c r="A12" t="s">
        <v>342</v>
      </c>
      <c r="B12" s="186">
        <v>110</v>
      </c>
      <c r="C12" s="32">
        <v>9.0953163802623749E-2</v>
      </c>
      <c r="D12" s="47">
        <v>2.8000000000000001E-2</v>
      </c>
      <c r="E12" s="53"/>
    </row>
    <row r="13" spans="1:5" x14ac:dyDescent="0.25">
      <c r="A13" t="s">
        <v>342</v>
      </c>
      <c r="B13" s="186">
        <v>121</v>
      </c>
      <c r="C13" s="32">
        <v>8.8539838790893555E-2</v>
      </c>
      <c r="D13" s="47">
        <v>2.8000000000000001E-2</v>
      </c>
      <c r="E13" s="53"/>
    </row>
    <row r="14" spans="1:5" x14ac:dyDescent="0.25">
      <c r="A14" t="s">
        <v>342</v>
      </c>
      <c r="B14" s="186">
        <v>122</v>
      </c>
      <c r="C14" s="32">
        <v>8.8159613311290741E-2</v>
      </c>
      <c r="D14" s="47">
        <v>2.8000000000000001E-2</v>
      </c>
      <c r="E14" s="53"/>
    </row>
    <row r="15" spans="1:5" x14ac:dyDescent="0.25">
      <c r="A15" t="s">
        <v>342</v>
      </c>
      <c r="B15" s="186">
        <v>125</v>
      </c>
      <c r="C15" s="32">
        <v>8.6941525340080261E-2</v>
      </c>
      <c r="D15" s="47">
        <v>2.8000000000000001E-2</v>
      </c>
      <c r="E15" s="53"/>
    </row>
    <row r="16" spans="1:5" x14ac:dyDescent="0.25">
      <c r="A16" t="s">
        <v>342</v>
      </c>
      <c r="B16" s="186">
        <v>128</v>
      </c>
      <c r="C16" s="32">
        <v>8.5641875863075256E-2</v>
      </c>
      <c r="D16" s="47">
        <v>2.8000000000000001E-2</v>
      </c>
      <c r="E16" s="53"/>
    </row>
    <row r="17" spans="1:5" x14ac:dyDescent="0.25">
      <c r="A17" t="s">
        <v>342</v>
      </c>
      <c r="B17" s="186">
        <v>141</v>
      </c>
      <c r="C17" s="32">
        <v>8.3075724542140961E-2</v>
      </c>
      <c r="D17" s="47">
        <v>2.8000000000000001E-2</v>
      </c>
      <c r="E17" s="53"/>
    </row>
    <row r="18" spans="1:5" x14ac:dyDescent="0.25">
      <c r="A18" t="s">
        <v>342</v>
      </c>
      <c r="B18" s="186">
        <v>142</v>
      </c>
      <c r="C18" s="32">
        <v>8.2778967916965485E-2</v>
      </c>
      <c r="D18" s="47">
        <v>2.8000000000000001E-2</v>
      </c>
      <c r="E18" s="53"/>
    </row>
    <row r="19" spans="1:5" x14ac:dyDescent="0.25">
      <c r="A19" t="s">
        <v>342</v>
      </c>
      <c r="B19" s="186">
        <v>144</v>
      </c>
      <c r="C19" s="32">
        <v>8.2152724266052246E-2</v>
      </c>
      <c r="D19" s="47">
        <v>2.8000000000000001E-2</v>
      </c>
      <c r="E19" s="53"/>
    </row>
    <row r="20" spans="1:5" x14ac:dyDescent="0.25">
      <c r="A20" t="s">
        <v>342</v>
      </c>
      <c r="B20" s="186">
        <v>148</v>
      </c>
      <c r="C20" s="32">
        <v>8.1149816513061523E-2</v>
      </c>
      <c r="D20" s="47">
        <v>2.8000000000000001E-2</v>
      </c>
      <c r="E20" s="53"/>
    </row>
    <row r="21" spans="1:5" x14ac:dyDescent="0.25">
      <c r="A21" t="s">
        <v>342</v>
      </c>
      <c r="B21" s="186">
        <v>149</v>
      </c>
      <c r="C21" s="32">
        <v>8.0450572073459625E-2</v>
      </c>
      <c r="D21" s="47">
        <v>2.8000000000000001E-2</v>
      </c>
      <c r="E21" s="53"/>
    </row>
    <row r="22" spans="1:5" x14ac:dyDescent="0.25">
      <c r="A22" t="s">
        <v>342</v>
      </c>
      <c r="B22" s="186">
        <v>166</v>
      </c>
      <c r="C22" s="32">
        <v>7.7554367482662201E-2</v>
      </c>
      <c r="D22" s="47">
        <v>2.8000000000000001E-2</v>
      </c>
      <c r="E22" s="53"/>
    </row>
    <row r="23" spans="1:5" x14ac:dyDescent="0.25">
      <c r="A23" t="s">
        <v>342</v>
      </c>
      <c r="B23" s="186">
        <v>173</v>
      </c>
      <c r="C23" s="32">
        <v>7.63072669506073E-2</v>
      </c>
      <c r="D23" s="47">
        <v>2.8000000000000001E-2</v>
      </c>
      <c r="E23" s="53"/>
    </row>
    <row r="24" spans="1:5" x14ac:dyDescent="0.25">
      <c r="A24" t="s">
        <v>342</v>
      </c>
      <c r="B24" s="186">
        <v>174</v>
      </c>
      <c r="C24" s="32">
        <v>7.6242201030254364E-2</v>
      </c>
      <c r="D24" s="47">
        <v>2.8000000000000001E-2</v>
      </c>
      <c r="E24" s="53"/>
    </row>
    <row r="25" spans="1:5" x14ac:dyDescent="0.25">
      <c r="A25" t="s">
        <v>342</v>
      </c>
      <c r="B25" s="186">
        <v>182</v>
      </c>
      <c r="C25" s="32">
        <v>7.5157731771469116E-2</v>
      </c>
      <c r="D25" s="47">
        <v>2.8000000000000001E-2</v>
      </c>
      <c r="E25" s="53"/>
    </row>
    <row r="26" spans="1:5" x14ac:dyDescent="0.25">
      <c r="A26" t="s">
        <v>342</v>
      </c>
      <c r="B26" s="186">
        <v>188</v>
      </c>
      <c r="C26" s="32">
        <v>7.3919534683227539E-2</v>
      </c>
      <c r="D26" s="47">
        <v>2.8000000000000001E-2</v>
      </c>
      <c r="E26" s="53"/>
    </row>
    <row r="27" spans="1:5" x14ac:dyDescent="0.25">
      <c r="A27" t="s">
        <v>342</v>
      </c>
      <c r="B27" s="186">
        <v>189</v>
      </c>
      <c r="C27" s="32">
        <v>7.3691844940185547E-2</v>
      </c>
      <c r="D27" s="47">
        <v>2.8000000000000001E-2</v>
      </c>
      <c r="E27" s="53"/>
    </row>
    <row r="28" spans="1:5" x14ac:dyDescent="0.25">
      <c r="A28" t="s">
        <v>342</v>
      </c>
      <c r="B28" s="186">
        <v>193</v>
      </c>
      <c r="C28" s="32">
        <v>7.3088280856609344E-2</v>
      </c>
      <c r="D28" s="47">
        <v>2.8000000000000001E-2</v>
      </c>
      <c r="E28" s="53"/>
    </row>
    <row r="29" spans="1:5" x14ac:dyDescent="0.25">
      <c r="A29" t="s">
        <v>342</v>
      </c>
      <c r="B29" s="186">
        <v>196</v>
      </c>
      <c r="C29" s="32">
        <v>7.294919341802597E-2</v>
      </c>
      <c r="D29" s="47">
        <v>2.8000000000000001E-2</v>
      </c>
      <c r="E29" s="53"/>
    </row>
    <row r="30" spans="1:5" x14ac:dyDescent="0.25">
      <c r="A30" t="s">
        <v>342</v>
      </c>
      <c r="B30" s="186">
        <v>198</v>
      </c>
      <c r="C30" s="32">
        <v>7.2781726717948914E-2</v>
      </c>
      <c r="D30" s="47">
        <v>2.8000000000000001E-2</v>
      </c>
      <c r="E30" s="53"/>
    </row>
    <row r="31" spans="1:5" x14ac:dyDescent="0.25">
      <c r="A31" t="s">
        <v>342</v>
      </c>
      <c r="B31" s="186">
        <v>199</v>
      </c>
      <c r="C31" s="32">
        <v>7.2678960859775543E-2</v>
      </c>
      <c r="D31" s="47">
        <v>2.8000000000000001E-2</v>
      </c>
      <c r="E31" s="53"/>
    </row>
    <row r="32" spans="1:5" x14ac:dyDescent="0.25">
      <c r="A32" t="s">
        <v>342</v>
      </c>
      <c r="B32" s="186">
        <v>205</v>
      </c>
      <c r="C32" s="32">
        <v>7.1852840483188629E-2</v>
      </c>
      <c r="D32" s="47">
        <v>2.8000000000000001E-2</v>
      </c>
      <c r="E32" s="53"/>
    </row>
    <row r="33" spans="1:5" x14ac:dyDescent="0.25">
      <c r="A33" t="s">
        <v>342</v>
      </c>
      <c r="B33" s="186">
        <v>223</v>
      </c>
      <c r="C33" s="32">
        <v>6.9753028452396393E-2</v>
      </c>
      <c r="D33" s="47">
        <v>2.8000000000000001E-2</v>
      </c>
      <c r="E33" s="53"/>
    </row>
    <row r="34" spans="1:5" x14ac:dyDescent="0.25">
      <c r="A34" t="s">
        <v>342</v>
      </c>
      <c r="B34" s="186">
        <v>225</v>
      </c>
      <c r="C34" s="32">
        <v>6.9520533084869385E-2</v>
      </c>
      <c r="D34" s="47">
        <v>2.8000000000000001E-2</v>
      </c>
      <c r="E34" s="53"/>
    </row>
    <row r="35" spans="1:5" x14ac:dyDescent="0.25">
      <c r="A35" t="s">
        <v>342</v>
      </c>
      <c r="B35" s="186">
        <v>226</v>
      </c>
      <c r="C35" s="32">
        <v>6.9393590092658997E-2</v>
      </c>
      <c r="D35" s="47">
        <v>2.8000000000000001E-2</v>
      </c>
      <c r="E35" s="53"/>
    </row>
    <row r="36" spans="1:5" x14ac:dyDescent="0.25">
      <c r="A36" t="s">
        <v>342</v>
      </c>
      <c r="B36" s="186">
        <v>229</v>
      </c>
      <c r="C36" s="32">
        <v>6.8976163864135742E-2</v>
      </c>
      <c r="D36" s="47">
        <v>2.8000000000000001E-2</v>
      </c>
      <c r="E36" s="53"/>
    </row>
    <row r="37" spans="1:5" x14ac:dyDescent="0.25">
      <c r="A37" t="s">
        <v>342</v>
      </c>
      <c r="B37" s="186">
        <v>247</v>
      </c>
      <c r="C37" s="32">
        <v>6.7277900874614716E-2</v>
      </c>
      <c r="D37" s="47">
        <v>2.8000000000000001E-2</v>
      </c>
      <c r="E37" s="53"/>
    </row>
    <row r="38" spans="1:5" x14ac:dyDescent="0.25">
      <c r="A38" t="s">
        <v>342</v>
      </c>
      <c r="B38" s="186">
        <v>252</v>
      </c>
      <c r="C38" s="32">
        <v>6.6697165369987488E-2</v>
      </c>
      <c r="D38" s="47">
        <v>2.8000000000000001E-2</v>
      </c>
      <c r="E38" s="32">
        <v>1.0284828749718145E-4</v>
      </c>
    </row>
    <row r="39" spans="1:5" x14ac:dyDescent="0.25">
      <c r="A39" t="s">
        <v>342</v>
      </c>
      <c r="B39" s="186">
        <v>257</v>
      </c>
      <c r="C39" s="32">
        <v>6.6008634865283966E-2</v>
      </c>
      <c r="D39" s="47">
        <v>2.8000000000000001E-2</v>
      </c>
      <c r="E39" s="32">
        <v>1.9393472757656127E-4</v>
      </c>
    </row>
    <row r="40" spans="1:5" x14ac:dyDescent="0.25">
      <c r="A40" t="s">
        <v>342</v>
      </c>
      <c r="B40" s="186">
        <v>260</v>
      </c>
      <c r="C40" s="32">
        <v>6.5810434520244598E-2</v>
      </c>
      <c r="D40" s="47">
        <v>2.8000000000000001E-2</v>
      </c>
      <c r="E40" s="32">
        <v>2.5179935619235039E-4</v>
      </c>
    </row>
    <row r="41" spans="1:5" x14ac:dyDescent="0.25">
      <c r="A41" t="s">
        <v>342</v>
      </c>
      <c r="B41" s="186">
        <v>263</v>
      </c>
      <c r="C41" s="32">
        <v>6.5725520253181458E-2</v>
      </c>
      <c r="D41" s="47">
        <v>2.8000000000000001E-2</v>
      </c>
      <c r="E41" s="32">
        <v>3.1234262860380113E-4</v>
      </c>
    </row>
    <row r="42" spans="1:5" x14ac:dyDescent="0.25">
      <c r="A42" t="s">
        <v>342</v>
      </c>
      <c r="B42" s="186">
        <v>264</v>
      </c>
      <c r="C42" s="32">
        <v>6.567961722612381E-2</v>
      </c>
      <c r="D42" s="47">
        <v>2.8000000000000001E-2</v>
      </c>
      <c r="E42" s="32">
        <v>3.3315949258394539E-4</v>
      </c>
    </row>
    <row r="43" spans="1:5" x14ac:dyDescent="0.25">
      <c r="A43" t="s">
        <v>342</v>
      </c>
      <c r="B43" s="186">
        <v>281</v>
      </c>
      <c r="C43" s="32">
        <v>6.4022965729236603E-2</v>
      </c>
      <c r="D43" s="47">
        <v>2.8000000000000001E-2</v>
      </c>
      <c r="E43" s="32">
        <v>7.4615509947761893E-4</v>
      </c>
    </row>
    <row r="44" spans="1:5" x14ac:dyDescent="0.25">
      <c r="A44" t="s">
        <v>342</v>
      </c>
      <c r="B44" s="186">
        <v>286</v>
      </c>
      <c r="C44" s="32">
        <v>6.3900679349899292E-2</v>
      </c>
      <c r="D44" s="47">
        <v>2.8000000000000001E-2</v>
      </c>
      <c r="E44" s="32">
        <v>8.9361431309953332E-4</v>
      </c>
    </row>
    <row r="45" spans="1:5" x14ac:dyDescent="0.25">
      <c r="A45" t="s">
        <v>342</v>
      </c>
      <c r="B45" s="186">
        <v>295</v>
      </c>
      <c r="C45" s="32">
        <v>6.3337795436382294E-2</v>
      </c>
      <c r="D45" s="47">
        <v>2.8000000000000001E-2</v>
      </c>
      <c r="E45" s="32">
        <v>1.1975234374403954E-3</v>
      </c>
    </row>
    <row r="46" spans="1:5" x14ac:dyDescent="0.25">
      <c r="A46" t="s">
        <v>342</v>
      </c>
      <c r="B46" s="186">
        <v>308</v>
      </c>
      <c r="C46" s="32">
        <v>6.2314022332429886E-2</v>
      </c>
      <c r="D46" s="47">
        <v>2.8000000000000001E-2</v>
      </c>
      <c r="E46" s="32">
        <v>1.7458378570154309E-3</v>
      </c>
    </row>
    <row r="47" spans="1:5" x14ac:dyDescent="0.25">
      <c r="A47" t="s">
        <v>342</v>
      </c>
      <c r="B47" s="186">
        <v>324</v>
      </c>
      <c r="C47" s="32">
        <v>6.1321355402469635E-2</v>
      </c>
      <c r="D47" s="47">
        <v>2.8000000000000001E-2</v>
      </c>
      <c r="E47" s="32">
        <v>2.6625820901244879E-3</v>
      </c>
    </row>
    <row r="48" spans="1:5" x14ac:dyDescent="0.25">
      <c r="A48" t="s">
        <v>342</v>
      </c>
      <c r="B48" s="186">
        <v>328</v>
      </c>
      <c r="C48" s="32">
        <v>6.0933839529752731E-2</v>
      </c>
      <c r="D48" s="47">
        <v>2.8000000000000001E-2</v>
      </c>
      <c r="E48" s="32">
        <v>2.945770276710391E-3</v>
      </c>
    </row>
    <row r="49" spans="1:5" x14ac:dyDescent="0.25">
      <c r="A49" t="s">
        <v>342</v>
      </c>
      <c r="B49" s="186">
        <v>329</v>
      </c>
      <c r="C49" s="32">
        <v>6.0883652418851852E-2</v>
      </c>
      <c r="D49" s="47">
        <v>2.8000000000000001E-2</v>
      </c>
      <c r="E49" s="32">
        <v>3.0205354560166597E-3</v>
      </c>
    </row>
    <row r="50" spans="1:5" x14ac:dyDescent="0.25">
      <c r="A50" t="s">
        <v>342</v>
      </c>
      <c r="B50" s="186">
        <v>341</v>
      </c>
      <c r="C50" s="32">
        <v>6.0470931231975555E-2</v>
      </c>
      <c r="D50" s="47">
        <v>2.8000000000000001E-2</v>
      </c>
      <c r="E50" s="32">
        <v>3.1653000041842461E-3</v>
      </c>
    </row>
    <row r="51" spans="1:5" x14ac:dyDescent="0.25">
      <c r="A51" t="s">
        <v>342</v>
      </c>
      <c r="B51" s="186">
        <v>343</v>
      </c>
      <c r="C51" s="32">
        <v>6.0341019183397293E-2</v>
      </c>
      <c r="D51" s="47">
        <v>2.8000000000000001E-2</v>
      </c>
      <c r="E51" s="32">
        <v>3.1917968299239874E-3</v>
      </c>
    </row>
    <row r="52" spans="1:5" x14ac:dyDescent="0.25">
      <c r="A52" t="s">
        <v>342</v>
      </c>
      <c r="B52" s="186">
        <v>355</v>
      </c>
      <c r="C52" s="32">
        <v>5.9556767344474792E-2</v>
      </c>
      <c r="D52" s="47">
        <v>2.8000000000000001E-2</v>
      </c>
      <c r="E52" s="32">
        <v>3.3856546506285667E-3</v>
      </c>
    </row>
    <row r="53" spans="1:5" x14ac:dyDescent="0.25">
      <c r="A53" t="s">
        <v>342</v>
      </c>
      <c r="B53" s="186">
        <v>357</v>
      </c>
      <c r="C53" s="32">
        <v>5.9522591531276703E-2</v>
      </c>
      <c r="D53" s="47">
        <v>2.8000000000000001E-2</v>
      </c>
      <c r="E53" s="32">
        <v>3.4244621638208628E-3</v>
      </c>
    </row>
    <row r="54" spans="1:5" x14ac:dyDescent="0.25">
      <c r="A54" t="s">
        <v>342</v>
      </c>
      <c r="B54" s="186">
        <v>383</v>
      </c>
      <c r="C54" s="32">
        <v>5.8298926800489426E-2</v>
      </c>
      <c r="D54" s="47">
        <v>2.8000000000000001E-2</v>
      </c>
      <c r="E54" s="32">
        <v>4.15452616289258E-3</v>
      </c>
    </row>
    <row r="55" spans="1:5" x14ac:dyDescent="0.25">
      <c r="A55" t="s">
        <v>342</v>
      </c>
      <c r="B55" s="186">
        <v>385</v>
      </c>
      <c r="C55" s="32">
        <v>5.8237779885530472E-2</v>
      </c>
      <c r="D55" s="47">
        <v>2.8000000000000001E-2</v>
      </c>
      <c r="E55" s="32">
        <v>4.2321570217609406E-3</v>
      </c>
    </row>
    <row r="56" spans="1:5" x14ac:dyDescent="0.25">
      <c r="A56" t="s">
        <v>342</v>
      </c>
      <c r="B56" s="186">
        <v>386</v>
      </c>
      <c r="C56" s="32">
        <v>5.8201655745506287E-2</v>
      </c>
      <c r="D56" s="47">
        <v>2.8000000000000001E-2</v>
      </c>
      <c r="E56" s="32">
        <v>4.2723757214844227E-3</v>
      </c>
    </row>
    <row r="57" spans="1:5" x14ac:dyDescent="0.25">
      <c r="A57" t="s">
        <v>342</v>
      </c>
      <c r="B57" s="186">
        <v>388</v>
      </c>
      <c r="C57" s="32">
        <v>5.8119192719459534E-2</v>
      </c>
      <c r="D57" s="47">
        <v>2.8000000000000001E-2</v>
      </c>
      <c r="E57" s="32">
        <v>4.355723038315773E-3</v>
      </c>
    </row>
    <row r="58" spans="1:5" x14ac:dyDescent="0.25">
      <c r="A58" t="s">
        <v>342</v>
      </c>
      <c r="B58" s="186">
        <v>397</v>
      </c>
      <c r="C58" s="32">
        <v>5.7609833776950836E-2</v>
      </c>
      <c r="D58" s="47">
        <v>2.8000000000000001E-2</v>
      </c>
      <c r="E58" s="32">
        <v>4.78321872651577E-3</v>
      </c>
    </row>
    <row r="59" spans="1:5" x14ac:dyDescent="0.25">
      <c r="A59" t="s">
        <v>342</v>
      </c>
      <c r="B59" s="186">
        <v>429</v>
      </c>
      <c r="C59" s="32">
        <v>5.6294471025466919E-2</v>
      </c>
      <c r="D59" s="47">
        <v>2.8000000000000001E-2</v>
      </c>
      <c r="E59" s="32">
        <v>5.3055365569889545E-3</v>
      </c>
    </row>
    <row r="60" spans="1:5" x14ac:dyDescent="0.25">
      <c r="A60" t="s">
        <v>342</v>
      </c>
      <c r="B60" s="186">
        <v>433</v>
      </c>
      <c r="C60" s="32">
        <v>5.6228376924991608E-2</v>
      </c>
      <c r="D60" s="47">
        <v>2.8000000000000001E-2</v>
      </c>
      <c r="E60" s="32">
        <v>5.3790234960615635E-3</v>
      </c>
    </row>
    <row r="61" spans="1:5" x14ac:dyDescent="0.25">
      <c r="A61" t="s">
        <v>342</v>
      </c>
      <c r="B61" s="186">
        <v>436</v>
      </c>
      <c r="C61" s="32">
        <v>5.6144945323467255E-2</v>
      </c>
      <c r="D61" s="47">
        <v>2.8000000000000001E-2</v>
      </c>
      <c r="E61" s="32">
        <v>5.4399818181991577E-3</v>
      </c>
    </row>
    <row r="62" spans="1:5" x14ac:dyDescent="0.25">
      <c r="A62" t="s">
        <v>342</v>
      </c>
      <c r="B62" s="186">
        <v>445</v>
      </c>
      <c r="C62" s="32">
        <v>5.5758088827133179E-2</v>
      </c>
      <c r="D62" s="47">
        <v>2.8000000000000001E-2</v>
      </c>
      <c r="E62" s="32">
        <v>5.656274501234293E-3</v>
      </c>
    </row>
    <row r="63" spans="1:5" x14ac:dyDescent="0.25">
      <c r="A63" t="s">
        <v>342</v>
      </c>
      <c r="B63" s="186">
        <v>461</v>
      </c>
      <c r="C63" s="32">
        <v>5.5252589285373688E-2</v>
      </c>
      <c r="D63" s="47">
        <v>2.8000000000000001E-2</v>
      </c>
      <c r="E63" s="32">
        <v>6.1905882321298122E-3</v>
      </c>
    </row>
    <row r="64" spans="1:5" x14ac:dyDescent="0.25">
      <c r="A64" t="s">
        <v>342</v>
      </c>
      <c r="B64" s="186">
        <v>471</v>
      </c>
      <c r="C64" s="32">
        <v>5.4853953421115875E-2</v>
      </c>
      <c r="D64" s="47">
        <v>2.8000000000000001E-2</v>
      </c>
      <c r="E64" s="32">
        <v>6.4529902301728725E-3</v>
      </c>
    </row>
    <row r="65" spans="1:5" x14ac:dyDescent="0.25">
      <c r="A65" t="s">
        <v>342</v>
      </c>
      <c r="B65" s="186">
        <v>476</v>
      </c>
      <c r="C65" s="32">
        <v>5.4589129984378815E-2</v>
      </c>
      <c r="D65" s="47">
        <v>2.8000000000000001E-2</v>
      </c>
      <c r="E65" s="32">
        <v>6.4859637059271336E-3</v>
      </c>
    </row>
    <row r="66" spans="1:5" x14ac:dyDescent="0.25">
      <c r="A66" t="s">
        <v>342</v>
      </c>
      <c r="B66" s="186">
        <v>487</v>
      </c>
      <c r="C66" s="32">
        <v>5.4407458752393723E-2</v>
      </c>
      <c r="D66" s="47">
        <v>2.8000000000000001E-2</v>
      </c>
      <c r="E66" s="32">
        <v>6.5904245711863041E-3</v>
      </c>
    </row>
    <row r="67" spans="1:5" x14ac:dyDescent="0.25">
      <c r="A67" t="s">
        <v>342</v>
      </c>
      <c r="B67" s="186">
        <v>535</v>
      </c>
      <c r="C67" s="32">
        <v>5.2999574691057205E-2</v>
      </c>
      <c r="D67" s="47">
        <v>2.8000000000000001E-2</v>
      </c>
      <c r="E67" s="32">
        <v>7.5929705053567886E-3</v>
      </c>
    </row>
    <row r="68" spans="1:5" x14ac:dyDescent="0.25">
      <c r="A68" t="s">
        <v>342</v>
      </c>
      <c r="B68" s="186">
        <v>561</v>
      </c>
      <c r="C68" s="32">
        <v>5.2331265062093735E-2</v>
      </c>
      <c r="D68" s="47">
        <v>2.8000000000000001E-2</v>
      </c>
      <c r="E68" s="32">
        <v>7.8539475798606873E-3</v>
      </c>
    </row>
    <row r="69" spans="1:5" x14ac:dyDescent="0.25">
      <c r="A69" t="s">
        <v>342</v>
      </c>
      <c r="B69" s="112">
        <v>600</v>
      </c>
      <c r="C69" s="53">
        <v>5.1386000000000001E-2</v>
      </c>
      <c r="D69" s="47">
        <v>2.8000000000000001E-2</v>
      </c>
      <c r="E69" s="53">
        <v>8.5500000000000003E-3</v>
      </c>
    </row>
  </sheetData>
  <sortState ref="A2:D83">
    <sortCondition ref="B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8" workbookViewId="0">
      <selection activeCell="D74" sqref="D74"/>
    </sheetView>
  </sheetViews>
  <sheetFormatPr defaultRowHeight="15" x14ac:dyDescent="0.25"/>
  <cols>
    <col min="1" max="1" width="15.28515625" bestFit="1" customWidth="1"/>
    <col min="2" max="2" width="11" bestFit="1" customWidth="1"/>
    <col min="3" max="3" width="8.140625" bestFit="1" customWidth="1"/>
    <col min="4" max="4" width="7.140625" bestFit="1" customWidth="1"/>
    <col min="5" max="5" width="8.5703125" bestFit="1" customWidth="1"/>
  </cols>
  <sheetData>
    <row r="1" spans="1:5" x14ac:dyDescent="0.25">
      <c r="A1" t="s">
        <v>297</v>
      </c>
      <c r="B1" t="s">
        <v>298</v>
      </c>
      <c r="C1" t="s">
        <v>300</v>
      </c>
      <c r="D1" t="s">
        <v>351</v>
      </c>
      <c r="E1" t="s">
        <v>301</v>
      </c>
    </row>
    <row r="2" spans="1:5" x14ac:dyDescent="0.25">
      <c r="A2" t="s">
        <v>343</v>
      </c>
      <c r="B2">
        <v>0</v>
      </c>
      <c r="C2" s="32">
        <v>0.5</v>
      </c>
      <c r="D2" s="32"/>
      <c r="E2" s="8">
        <v>1.7999999999999999E-2</v>
      </c>
    </row>
    <row r="3" spans="1:5" x14ac:dyDescent="0.25">
      <c r="A3" t="s">
        <v>343</v>
      </c>
      <c r="B3">
        <v>11</v>
      </c>
      <c r="C3" s="32">
        <v>0.27228957414627075</v>
      </c>
      <c r="D3" s="32"/>
      <c r="E3" s="8">
        <v>1.7999999999999999E-2</v>
      </c>
    </row>
    <row r="4" spans="1:5" x14ac:dyDescent="0.25">
      <c r="A4" t="s">
        <v>343</v>
      </c>
      <c r="B4">
        <v>15</v>
      </c>
      <c r="C4" s="32">
        <v>0.24130789935588837</v>
      </c>
      <c r="D4" s="32"/>
      <c r="E4" s="8">
        <v>1.7999999999999999E-2</v>
      </c>
    </row>
    <row r="5" spans="1:5" x14ac:dyDescent="0.25">
      <c r="A5" t="s">
        <v>343</v>
      </c>
      <c r="B5">
        <v>24</v>
      </c>
      <c r="C5" s="32">
        <v>0.1662384420633316</v>
      </c>
      <c r="D5" s="32"/>
      <c r="E5" s="8">
        <v>1.7999999999999999E-2</v>
      </c>
    </row>
    <row r="6" spans="1:5" x14ac:dyDescent="0.25">
      <c r="A6" t="s">
        <v>343</v>
      </c>
      <c r="B6">
        <v>29</v>
      </c>
      <c r="C6" s="32">
        <v>0.15586231648921967</v>
      </c>
      <c r="D6" s="32"/>
      <c r="E6" s="8">
        <v>1.7999999999999999E-2</v>
      </c>
    </row>
    <row r="7" spans="1:5" x14ac:dyDescent="0.25">
      <c r="A7" t="s">
        <v>343</v>
      </c>
      <c r="B7">
        <v>33</v>
      </c>
      <c r="C7" s="32">
        <v>0.14411081373691559</v>
      </c>
      <c r="D7" s="32"/>
      <c r="E7" s="8">
        <v>1.7999999999999999E-2</v>
      </c>
    </row>
    <row r="8" spans="1:5" x14ac:dyDescent="0.25">
      <c r="A8" t="s">
        <v>343</v>
      </c>
      <c r="B8">
        <v>39</v>
      </c>
      <c r="C8" s="32">
        <v>0.12678292393684387</v>
      </c>
      <c r="D8" s="32"/>
      <c r="E8" s="8">
        <v>1.7999999999999999E-2</v>
      </c>
    </row>
    <row r="9" spans="1:5" x14ac:dyDescent="0.25">
      <c r="A9" t="s">
        <v>343</v>
      </c>
      <c r="B9">
        <v>39</v>
      </c>
      <c r="C9" s="32">
        <v>0.12678292393684387</v>
      </c>
      <c r="D9" s="32"/>
      <c r="E9" s="8">
        <v>1.7999999999999999E-2</v>
      </c>
    </row>
    <row r="10" spans="1:5" x14ac:dyDescent="0.25">
      <c r="A10" t="s">
        <v>343</v>
      </c>
      <c r="B10">
        <v>43</v>
      </c>
      <c r="C10" s="32">
        <v>0.11954393237829208</v>
      </c>
      <c r="D10" s="32"/>
      <c r="E10" s="8">
        <v>1.7999999999999999E-2</v>
      </c>
    </row>
    <row r="11" spans="1:5" x14ac:dyDescent="0.25">
      <c r="A11" t="s">
        <v>343</v>
      </c>
      <c r="B11">
        <v>50</v>
      </c>
      <c r="C11" s="32">
        <v>0.11292429268360138</v>
      </c>
      <c r="D11" s="32"/>
      <c r="E11" s="8">
        <v>1.7999999999999999E-2</v>
      </c>
    </row>
    <row r="12" spans="1:5" x14ac:dyDescent="0.25">
      <c r="A12" t="s">
        <v>343</v>
      </c>
      <c r="B12">
        <v>53</v>
      </c>
      <c r="C12" s="32">
        <v>0.10888388007879257</v>
      </c>
      <c r="D12" s="32"/>
      <c r="E12" s="8">
        <v>1.7999999999999999E-2</v>
      </c>
    </row>
    <row r="13" spans="1:5" x14ac:dyDescent="0.25">
      <c r="A13" t="s">
        <v>343</v>
      </c>
      <c r="B13">
        <v>53</v>
      </c>
      <c r="C13" s="32">
        <v>0.10888388007879257</v>
      </c>
      <c r="D13" s="32"/>
      <c r="E13" s="8">
        <v>1.7999999999999999E-2</v>
      </c>
    </row>
    <row r="14" spans="1:5" x14ac:dyDescent="0.25">
      <c r="A14" t="s">
        <v>343</v>
      </c>
      <c r="B14">
        <v>59</v>
      </c>
      <c r="C14" s="32">
        <v>0.10067052394151688</v>
      </c>
      <c r="D14" s="32"/>
      <c r="E14" s="8">
        <v>1.7999999999999999E-2</v>
      </c>
    </row>
    <row r="15" spans="1:5" x14ac:dyDescent="0.25">
      <c r="A15" t="s">
        <v>343</v>
      </c>
      <c r="B15">
        <v>61</v>
      </c>
      <c r="C15" s="32">
        <v>9.8041631281375885E-2</v>
      </c>
      <c r="D15" s="32"/>
      <c r="E15" s="8">
        <v>1.7999999999999999E-2</v>
      </c>
    </row>
    <row r="16" spans="1:5" x14ac:dyDescent="0.25">
      <c r="A16" t="s">
        <v>343</v>
      </c>
      <c r="B16">
        <v>65</v>
      </c>
      <c r="C16" s="32">
        <v>9.6246778964996338E-2</v>
      </c>
      <c r="D16" s="32"/>
      <c r="E16" s="8">
        <v>1.7999999999999999E-2</v>
      </c>
    </row>
    <row r="17" spans="1:5" x14ac:dyDescent="0.25">
      <c r="A17" t="s">
        <v>343</v>
      </c>
      <c r="B17">
        <v>68</v>
      </c>
      <c r="C17" s="32">
        <v>9.4912528991699219E-2</v>
      </c>
      <c r="D17" s="32"/>
      <c r="E17" s="8">
        <v>1.7999999999999999E-2</v>
      </c>
    </row>
    <row r="18" spans="1:5" x14ac:dyDescent="0.25">
      <c r="A18" t="s">
        <v>343</v>
      </c>
      <c r="B18">
        <v>68</v>
      </c>
      <c r="C18" s="32">
        <v>9.4912528991699219E-2</v>
      </c>
      <c r="D18" s="32"/>
      <c r="E18" s="8">
        <v>1.7999999999999999E-2</v>
      </c>
    </row>
    <row r="19" spans="1:5" x14ac:dyDescent="0.25">
      <c r="A19" t="s">
        <v>343</v>
      </c>
      <c r="B19">
        <v>69</v>
      </c>
      <c r="C19" s="32">
        <v>9.4337806105613708E-2</v>
      </c>
      <c r="D19" s="32"/>
      <c r="E19" s="8">
        <v>1.7999999999999999E-2</v>
      </c>
    </row>
    <row r="20" spans="1:5" x14ac:dyDescent="0.25">
      <c r="A20" t="s">
        <v>343</v>
      </c>
      <c r="B20">
        <v>70</v>
      </c>
      <c r="C20" s="32">
        <v>9.3715846538543701E-2</v>
      </c>
      <c r="D20" s="32"/>
      <c r="E20" s="8">
        <v>1.7999999999999999E-2</v>
      </c>
    </row>
    <row r="21" spans="1:5" x14ac:dyDescent="0.25">
      <c r="A21" t="s">
        <v>343</v>
      </c>
      <c r="B21">
        <v>73</v>
      </c>
      <c r="C21" s="32">
        <v>9.1067410000000001E-2</v>
      </c>
      <c r="D21" s="32"/>
      <c r="E21" s="8">
        <v>1.7999999999999999E-2</v>
      </c>
    </row>
    <row r="22" spans="1:5" x14ac:dyDescent="0.25">
      <c r="A22" t="s">
        <v>343</v>
      </c>
      <c r="B22">
        <v>73</v>
      </c>
      <c r="C22" s="32">
        <v>9.1644793748855591E-2</v>
      </c>
      <c r="D22" s="32"/>
      <c r="E22" s="8">
        <v>1.7999999999999999E-2</v>
      </c>
    </row>
    <row r="23" spans="1:5" x14ac:dyDescent="0.25">
      <c r="A23" t="s">
        <v>343</v>
      </c>
      <c r="B23">
        <v>80</v>
      </c>
      <c r="C23" s="32">
        <v>8.6271040141582489E-2</v>
      </c>
      <c r="D23" s="32"/>
      <c r="E23" s="8">
        <v>1.7999999999999999E-2</v>
      </c>
    </row>
    <row r="24" spans="1:5" x14ac:dyDescent="0.25">
      <c r="A24" t="s">
        <v>343</v>
      </c>
      <c r="B24">
        <v>82</v>
      </c>
      <c r="C24" s="32">
        <v>8.4710255265235901E-2</v>
      </c>
      <c r="D24" s="32"/>
      <c r="E24" s="8">
        <v>1.7999999999999999E-2</v>
      </c>
    </row>
    <row r="25" spans="1:5" x14ac:dyDescent="0.25">
      <c r="A25" t="s">
        <v>343</v>
      </c>
      <c r="B25">
        <v>114</v>
      </c>
      <c r="C25" s="32">
        <v>7.2738796472549438E-2</v>
      </c>
      <c r="D25" s="32"/>
      <c r="E25" s="8">
        <v>1.7999999999999999E-2</v>
      </c>
    </row>
    <row r="26" spans="1:5" x14ac:dyDescent="0.25">
      <c r="A26" t="s">
        <v>343</v>
      </c>
      <c r="B26">
        <v>115</v>
      </c>
      <c r="C26" s="32">
        <v>7.257881760597229E-2</v>
      </c>
      <c r="D26" s="32"/>
      <c r="E26" s="8">
        <v>1.7999999999999999E-2</v>
      </c>
    </row>
    <row r="27" spans="1:5" x14ac:dyDescent="0.25">
      <c r="A27" t="s">
        <v>343</v>
      </c>
      <c r="B27">
        <v>122</v>
      </c>
      <c r="C27" s="32">
        <v>7.089165598154068E-2</v>
      </c>
      <c r="D27" s="32"/>
      <c r="E27" s="8">
        <v>1.7999999999999999E-2</v>
      </c>
    </row>
    <row r="28" spans="1:5" x14ac:dyDescent="0.25">
      <c r="A28" t="s">
        <v>343</v>
      </c>
      <c r="B28">
        <v>135</v>
      </c>
      <c r="C28" s="32">
        <v>6.6545300185680389E-2</v>
      </c>
      <c r="D28" s="32"/>
      <c r="E28" s="8">
        <v>1.7999999999999999E-2</v>
      </c>
    </row>
    <row r="29" spans="1:5" x14ac:dyDescent="0.25">
      <c r="A29" t="s">
        <v>343</v>
      </c>
      <c r="B29">
        <v>138</v>
      </c>
      <c r="C29" s="32">
        <v>6.6191494464874268E-2</v>
      </c>
      <c r="D29" s="32"/>
      <c r="E29" s="8">
        <v>1.7999999999999999E-2</v>
      </c>
    </row>
    <row r="30" spans="1:5" x14ac:dyDescent="0.25">
      <c r="A30" t="s">
        <v>343</v>
      </c>
      <c r="B30">
        <v>147</v>
      </c>
      <c r="C30" s="32">
        <v>6.5053835511207581E-2</v>
      </c>
      <c r="D30" s="32"/>
      <c r="E30" s="8">
        <v>1.7999999999999999E-2</v>
      </c>
    </row>
    <row r="31" spans="1:5" x14ac:dyDescent="0.25">
      <c r="A31" t="s">
        <v>343</v>
      </c>
      <c r="B31">
        <v>147</v>
      </c>
      <c r="C31" s="32">
        <v>6.5053835511207581E-2</v>
      </c>
      <c r="D31" s="32"/>
      <c r="E31" s="8">
        <v>1.7999999999999999E-2</v>
      </c>
    </row>
    <row r="32" spans="1:5" x14ac:dyDescent="0.25">
      <c r="A32" t="s">
        <v>343</v>
      </c>
      <c r="B32">
        <v>148</v>
      </c>
      <c r="C32" s="32">
        <v>6.4860932528972626E-2</v>
      </c>
      <c r="D32" s="32"/>
      <c r="E32" s="8">
        <v>1.7999999999999999E-2</v>
      </c>
    </row>
    <row r="33" spans="1:5" x14ac:dyDescent="0.25">
      <c r="A33" t="s">
        <v>343</v>
      </c>
      <c r="B33">
        <v>162</v>
      </c>
      <c r="C33" s="32">
        <v>6.1531029641628265E-2</v>
      </c>
      <c r="D33" s="32"/>
      <c r="E33" s="8">
        <v>1.7999999999999999E-2</v>
      </c>
    </row>
    <row r="34" spans="1:5" x14ac:dyDescent="0.25">
      <c r="A34" t="s">
        <v>343</v>
      </c>
      <c r="B34">
        <v>168</v>
      </c>
      <c r="C34" s="32">
        <v>6.0954861342906952E-2</v>
      </c>
      <c r="D34" s="32"/>
      <c r="E34" s="8">
        <v>1.7999999999999999E-2</v>
      </c>
    </row>
    <row r="35" spans="1:5" x14ac:dyDescent="0.25">
      <c r="A35" t="s">
        <v>343</v>
      </c>
      <c r="B35">
        <v>172</v>
      </c>
      <c r="C35" s="32">
        <v>6.0604512691497803E-2</v>
      </c>
      <c r="D35" s="32"/>
      <c r="E35" s="8">
        <v>1.7999999999999999E-2</v>
      </c>
    </row>
    <row r="36" spans="1:5" x14ac:dyDescent="0.25">
      <c r="A36" t="s">
        <v>343</v>
      </c>
      <c r="B36">
        <v>190</v>
      </c>
      <c r="C36" s="32">
        <v>5.7618424296379089E-2</v>
      </c>
      <c r="D36" s="32"/>
      <c r="E36" s="8">
        <v>1.7999999999999999E-2</v>
      </c>
    </row>
    <row r="37" spans="1:5" x14ac:dyDescent="0.25">
      <c r="A37" t="s">
        <v>343</v>
      </c>
      <c r="B37">
        <v>201</v>
      </c>
      <c r="C37" s="32">
        <v>5.6721385568380356E-2</v>
      </c>
      <c r="D37" s="32"/>
      <c r="E37" s="8">
        <v>1.7999999999999999E-2</v>
      </c>
    </row>
    <row r="38" spans="1:5" x14ac:dyDescent="0.25">
      <c r="A38" t="s">
        <v>343</v>
      </c>
      <c r="B38">
        <v>243</v>
      </c>
      <c r="C38" s="32">
        <v>5.2522357553243637E-2</v>
      </c>
      <c r="D38" s="32"/>
      <c r="E38" s="8">
        <v>1.7999999999999999E-2</v>
      </c>
    </row>
    <row r="39" spans="1:5" x14ac:dyDescent="0.25">
      <c r="A39" t="s">
        <v>343</v>
      </c>
      <c r="B39">
        <v>247</v>
      </c>
      <c r="C39" s="32">
        <v>5.2061520516872406E-2</v>
      </c>
      <c r="D39" s="32"/>
      <c r="E39" s="8">
        <v>1.7999999999999999E-2</v>
      </c>
    </row>
    <row r="40" spans="1:5" x14ac:dyDescent="0.25">
      <c r="A40" t="s">
        <v>343</v>
      </c>
      <c r="B40">
        <v>252</v>
      </c>
      <c r="C40" s="32">
        <v>5.1441807299852371E-2</v>
      </c>
      <c r="D40" s="32"/>
      <c r="E40" s="8">
        <v>1.7999999999999999E-2</v>
      </c>
    </row>
    <row r="41" spans="1:5" x14ac:dyDescent="0.25">
      <c r="A41" t="s">
        <v>343</v>
      </c>
      <c r="B41">
        <v>270</v>
      </c>
      <c r="C41" s="32">
        <v>5.0487358123064041E-2</v>
      </c>
      <c r="D41" s="32"/>
      <c r="E41" s="8">
        <v>1.7999999999999999E-2</v>
      </c>
    </row>
    <row r="42" spans="1:5" x14ac:dyDescent="0.25">
      <c r="A42" t="s">
        <v>343</v>
      </c>
      <c r="B42">
        <v>289</v>
      </c>
      <c r="C42" s="32">
        <v>4.8950470983982086E-2</v>
      </c>
      <c r="D42" s="32"/>
      <c r="E42" s="8">
        <v>1.7999999999999999E-2</v>
      </c>
    </row>
    <row r="43" spans="1:5" x14ac:dyDescent="0.25">
      <c r="A43" t="s">
        <v>343</v>
      </c>
      <c r="B43">
        <v>299</v>
      </c>
      <c r="C43" s="32">
        <v>4.8580281436443329E-2</v>
      </c>
      <c r="D43" s="32"/>
      <c r="E43" s="8">
        <v>1.7999999999999999E-2</v>
      </c>
    </row>
    <row r="44" spans="1:5" x14ac:dyDescent="0.25">
      <c r="A44" t="s">
        <v>343</v>
      </c>
      <c r="B44">
        <v>320</v>
      </c>
      <c r="C44" s="32">
        <v>4.7083858400583267E-2</v>
      </c>
      <c r="D44" s="32"/>
      <c r="E44" s="8">
        <v>1.7999999999999999E-2</v>
      </c>
    </row>
    <row r="45" spans="1:5" x14ac:dyDescent="0.25">
      <c r="A45" t="s">
        <v>343</v>
      </c>
      <c r="B45">
        <v>337</v>
      </c>
      <c r="C45" s="32">
        <v>4.6491093933582306E-2</v>
      </c>
      <c r="D45" s="100"/>
      <c r="E45" s="8">
        <v>1.7999999999999999E-2</v>
      </c>
    </row>
    <row r="46" spans="1:5" x14ac:dyDescent="0.25">
      <c r="A46" t="s">
        <v>343</v>
      </c>
      <c r="B46">
        <v>359</v>
      </c>
      <c r="C46" s="32">
        <v>4.5383390039205551E-2</v>
      </c>
      <c r="D46" s="100"/>
      <c r="E46" s="8">
        <v>1.7999999999999999E-2</v>
      </c>
    </row>
    <row r="47" spans="1:5" x14ac:dyDescent="0.25">
      <c r="A47" t="s">
        <v>343</v>
      </c>
      <c r="B47">
        <v>376</v>
      </c>
      <c r="C47" s="32">
        <v>4.4668149203062057E-2</v>
      </c>
      <c r="D47" s="100"/>
      <c r="E47" s="8">
        <v>1.7999999999999999E-2</v>
      </c>
    </row>
    <row r="48" spans="1:5" x14ac:dyDescent="0.25">
      <c r="A48" t="s">
        <v>343</v>
      </c>
      <c r="B48">
        <v>381</v>
      </c>
      <c r="C48" s="32">
        <v>4.4368855655193329E-2</v>
      </c>
      <c r="D48" s="32">
        <v>7.1652139013167471E-5</v>
      </c>
      <c r="E48" s="8">
        <v>1.7999999999999999E-2</v>
      </c>
    </row>
    <row r="49" spans="1:5" x14ac:dyDescent="0.25">
      <c r="A49" t="s">
        <v>343</v>
      </c>
      <c r="B49">
        <v>394</v>
      </c>
      <c r="C49" s="32">
        <v>4.3961845338344574E-2</v>
      </c>
      <c r="D49" s="32">
        <v>1.7918502271641046E-4</v>
      </c>
      <c r="E49" s="8">
        <v>1.7999999999999999E-2</v>
      </c>
    </row>
    <row r="50" spans="1:5" x14ac:dyDescent="0.25">
      <c r="A50" t="s">
        <v>343</v>
      </c>
      <c r="B50">
        <v>398</v>
      </c>
      <c r="C50" s="32">
        <v>4.3857723474502563E-2</v>
      </c>
      <c r="D50" s="32">
        <v>2.1513532556127757E-4</v>
      </c>
      <c r="E50" s="8">
        <v>1.7999999999999999E-2</v>
      </c>
    </row>
    <row r="51" spans="1:5" x14ac:dyDescent="0.25">
      <c r="A51" t="s">
        <v>343</v>
      </c>
      <c r="B51">
        <v>411</v>
      </c>
      <c r="C51" s="32">
        <v>4.3323773890733719E-2</v>
      </c>
      <c r="D51" s="32">
        <v>3.43174091540277E-4</v>
      </c>
      <c r="E51" s="8">
        <v>1.7999999999999999E-2</v>
      </c>
    </row>
    <row r="52" spans="1:5" x14ac:dyDescent="0.25">
      <c r="A52" t="s">
        <v>343</v>
      </c>
      <c r="B52">
        <v>429</v>
      </c>
      <c r="C52" s="32">
        <v>4.2723242193460464E-2</v>
      </c>
      <c r="D52" s="32">
        <v>5.553150549530983E-4</v>
      </c>
      <c r="E52" s="8">
        <v>1.7999999999999999E-2</v>
      </c>
    </row>
    <row r="53" spans="1:5" x14ac:dyDescent="0.25">
      <c r="A53" t="s">
        <v>343</v>
      </c>
      <c r="B53">
        <v>430</v>
      </c>
      <c r="C53" s="32">
        <v>4.2703010141849518E-2</v>
      </c>
      <c r="D53" s="32">
        <v>5.6851992849260569E-4</v>
      </c>
      <c r="E53" s="8">
        <v>1.7999999999999999E-2</v>
      </c>
    </row>
    <row r="54" spans="1:5" x14ac:dyDescent="0.25">
      <c r="A54" t="s">
        <v>343</v>
      </c>
      <c r="B54">
        <v>437</v>
      </c>
      <c r="C54" s="32">
        <v>4.2511407285928726E-2</v>
      </c>
      <c r="D54" s="32">
        <v>6.6577584948390722E-4</v>
      </c>
      <c r="E54" s="8">
        <v>1.7999999999999999E-2</v>
      </c>
    </row>
    <row r="55" spans="1:5" x14ac:dyDescent="0.25">
      <c r="A55" t="s">
        <v>343</v>
      </c>
      <c r="B55">
        <v>437</v>
      </c>
      <c r="C55" s="32">
        <v>4.2511407285928726E-2</v>
      </c>
      <c r="D55" s="32">
        <v>6.6577584948390722E-4</v>
      </c>
      <c r="E55" s="8">
        <v>1.7999999999999999E-2</v>
      </c>
    </row>
    <row r="56" spans="1:5" x14ac:dyDescent="0.25">
      <c r="A56" t="s">
        <v>343</v>
      </c>
      <c r="B56">
        <v>451</v>
      </c>
      <c r="C56" s="32">
        <v>4.1932318359613419E-2</v>
      </c>
      <c r="D56" s="32">
        <v>8.8889198377728462E-4</v>
      </c>
      <c r="E56" s="8">
        <v>1.7999999999999999E-2</v>
      </c>
    </row>
    <row r="57" spans="1:5" x14ac:dyDescent="0.25">
      <c r="A57" t="s">
        <v>343</v>
      </c>
      <c r="B57">
        <v>465</v>
      </c>
      <c r="C57" s="32">
        <v>4.1616030037403107E-2</v>
      </c>
      <c r="D57" s="32">
        <v>1.158145722001791E-3</v>
      </c>
      <c r="E57" s="8">
        <v>1.7999999999999999E-2</v>
      </c>
    </row>
    <row r="58" spans="1:5" x14ac:dyDescent="0.25">
      <c r="A58" t="s">
        <v>343</v>
      </c>
      <c r="B58">
        <v>467</v>
      </c>
      <c r="C58" s="32">
        <v>4.1576441377401352E-2</v>
      </c>
      <c r="D58" s="32">
        <v>1.2010199716314673E-3</v>
      </c>
      <c r="E58" s="8">
        <v>1.7999999999999999E-2</v>
      </c>
    </row>
    <row r="59" spans="1:5" x14ac:dyDescent="0.25">
      <c r="A59" t="s">
        <v>343</v>
      </c>
      <c r="B59">
        <v>491</v>
      </c>
      <c r="C59" s="32">
        <v>4.072551429271698E-2</v>
      </c>
      <c r="D59" s="32">
        <v>1.822079299017787E-3</v>
      </c>
      <c r="E59" s="8">
        <v>1.7999999999999999E-2</v>
      </c>
    </row>
    <row r="60" spans="1:5" x14ac:dyDescent="0.25">
      <c r="A60" t="s">
        <v>343</v>
      </c>
      <c r="B60">
        <v>514</v>
      </c>
      <c r="C60" s="32">
        <v>4.0315054357051849E-2</v>
      </c>
      <c r="D60" s="32">
        <v>2.0934641361236572E-3</v>
      </c>
      <c r="E60" s="8">
        <v>1.7999999999999999E-2</v>
      </c>
    </row>
    <row r="61" spans="1:5" x14ac:dyDescent="0.25">
      <c r="A61" t="s">
        <v>343</v>
      </c>
      <c r="B61">
        <v>523</v>
      </c>
      <c r="C61" s="32">
        <v>3.9998143911361694E-2</v>
      </c>
      <c r="D61" s="32">
        <v>2.1484713070094585E-3</v>
      </c>
      <c r="E61" s="8">
        <v>1.7999999999999999E-2</v>
      </c>
    </row>
    <row r="62" spans="1:5" x14ac:dyDescent="0.25">
      <c r="A62" t="s">
        <v>343</v>
      </c>
      <c r="B62">
        <v>559</v>
      </c>
      <c r="C62" s="32">
        <v>3.9194706827402115E-2</v>
      </c>
      <c r="D62" s="32">
        <v>2.4807711597532034E-3</v>
      </c>
      <c r="E62" s="8">
        <v>1.7999999999999999E-2</v>
      </c>
    </row>
    <row r="63" spans="1:5" x14ac:dyDescent="0.25">
      <c r="A63" t="s">
        <v>343</v>
      </c>
      <c r="B63">
        <v>561</v>
      </c>
      <c r="C63" s="32">
        <v>3.9124947041273117E-2</v>
      </c>
      <c r="D63" s="32">
        <v>2.5057741440832615E-3</v>
      </c>
      <c r="E63" s="8">
        <v>1.7999999999999999E-2</v>
      </c>
    </row>
    <row r="64" spans="1:5" x14ac:dyDescent="0.25">
      <c r="A64" t="s">
        <v>343</v>
      </c>
      <c r="B64">
        <v>612</v>
      </c>
      <c r="C64" s="32">
        <v>3.8220666348934174E-2</v>
      </c>
      <c r="D64" s="32">
        <v>3.3289559651166201E-3</v>
      </c>
      <c r="E64" s="8">
        <v>1.7999999999999999E-2</v>
      </c>
    </row>
    <row r="65" spans="1:5" x14ac:dyDescent="0.25">
      <c r="A65" t="s">
        <v>343</v>
      </c>
      <c r="B65">
        <v>623</v>
      </c>
      <c r="C65" s="32">
        <v>3.8023494184017181E-2</v>
      </c>
      <c r="D65" s="32">
        <v>3.3718664199113846E-3</v>
      </c>
      <c r="E65" s="8">
        <v>1.7999999999999999E-2</v>
      </c>
    </row>
    <row r="66" spans="1:5" x14ac:dyDescent="0.25">
      <c r="A66" t="s">
        <v>343</v>
      </c>
      <c r="B66">
        <v>634</v>
      </c>
      <c r="C66" s="32">
        <v>3.7741411477327347E-2</v>
      </c>
      <c r="D66" s="32">
        <v>3.4282137639820576E-3</v>
      </c>
      <c r="E66" s="8">
        <v>1.7999999999999999E-2</v>
      </c>
    </row>
    <row r="67" spans="1:5" x14ac:dyDescent="0.25">
      <c r="A67" t="s">
        <v>343</v>
      </c>
      <c r="B67">
        <v>691</v>
      </c>
      <c r="C67" s="32">
        <v>3.6903638392686844E-2</v>
      </c>
      <c r="D67" s="32">
        <v>4.0268423035740852E-3</v>
      </c>
      <c r="E67" s="8">
        <v>1.7999999999999999E-2</v>
      </c>
    </row>
    <row r="68" spans="1:5" x14ac:dyDescent="0.25">
      <c r="A68" t="s">
        <v>343</v>
      </c>
      <c r="B68">
        <v>841</v>
      </c>
      <c r="C68" s="32">
        <v>3.4943334758281708E-2</v>
      </c>
      <c r="D68" s="32">
        <v>5.1749139092862606E-3</v>
      </c>
      <c r="E68" s="8">
        <v>1.7999999999999999E-2</v>
      </c>
    </row>
    <row r="69" spans="1:5" x14ac:dyDescent="0.25">
      <c r="A69" t="s">
        <v>343</v>
      </c>
      <c r="B69">
        <v>866</v>
      </c>
      <c r="C69" s="32">
        <v>3.4603368490934372E-2</v>
      </c>
      <c r="D69" s="32">
        <v>5.3758006542921066E-3</v>
      </c>
      <c r="E69" s="8">
        <v>1.7999999999999999E-2</v>
      </c>
    </row>
    <row r="70" spans="1:5" x14ac:dyDescent="0.25">
      <c r="A70" t="s">
        <v>343</v>
      </c>
      <c r="B70">
        <v>913</v>
      </c>
      <c r="C70" s="32">
        <v>3.4165848046541214E-2</v>
      </c>
      <c r="D70" s="32">
        <v>5.6955167092382908E-3</v>
      </c>
      <c r="E70" s="8">
        <v>1.7999999999999999E-2</v>
      </c>
    </row>
    <row r="71" spans="1:5" x14ac:dyDescent="0.25">
      <c r="A71" t="s">
        <v>343</v>
      </c>
      <c r="B71">
        <v>977</v>
      </c>
      <c r="C71" s="32">
        <v>3.3588893711566925E-2</v>
      </c>
      <c r="D71" s="32">
        <v>6.1625530943274498E-3</v>
      </c>
      <c r="E71" s="8">
        <v>1.7999999999999999E-2</v>
      </c>
    </row>
    <row r="72" spans="1:5" x14ac:dyDescent="0.25">
      <c r="A72" t="s">
        <v>343</v>
      </c>
      <c r="B72">
        <v>1000</v>
      </c>
      <c r="C72" s="32">
        <v>3.3412158489227295E-2</v>
      </c>
      <c r="D72" s="32">
        <v>6.2125464901328087E-3</v>
      </c>
      <c r="E72" s="8">
        <v>1.7999999999999999E-2</v>
      </c>
    </row>
    <row r="73" spans="1:5" x14ac:dyDescent="0.25">
      <c r="A73" t="s">
        <v>343</v>
      </c>
      <c r="B73">
        <v>1161</v>
      </c>
      <c r="C73" s="32">
        <v>3.2212324440479279E-2</v>
      </c>
      <c r="D73" s="32">
        <v>7.0357886143028736E-3</v>
      </c>
      <c r="E73" s="8">
        <v>1.7999999999999999E-2</v>
      </c>
    </row>
    <row r="74" spans="1:5" x14ac:dyDescent="0.25">
      <c r="A74" t="s">
        <v>343</v>
      </c>
      <c r="B74">
        <v>1200</v>
      </c>
      <c r="C74" s="32">
        <v>3.1573999999999998E-2</v>
      </c>
      <c r="D74" s="32">
        <v>6.9949950000000004E-3</v>
      </c>
      <c r="E74" s="8">
        <v>1.7999999999999999E-2</v>
      </c>
    </row>
  </sheetData>
  <sortState ref="A2:E93">
    <sortCondition ref="B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Normal="100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J47" sqref="J47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5.7109375" bestFit="1" customWidth="1"/>
    <col min="4" max="4" width="14" customWidth="1"/>
    <col min="5" max="5" width="12.5703125" customWidth="1"/>
    <col min="6" max="6" width="16.5703125" customWidth="1"/>
    <col min="7" max="7" width="16.140625" customWidth="1"/>
    <col min="8" max="8" width="16.42578125" customWidth="1"/>
    <col min="9" max="9" width="13.5703125" customWidth="1"/>
    <col min="10" max="10" width="14.5703125" customWidth="1"/>
    <col min="11" max="11" width="6.42578125" bestFit="1" customWidth="1"/>
    <col min="12" max="16" width="8.5703125" bestFit="1" customWidth="1"/>
    <col min="17" max="17" width="5.140625" bestFit="1" customWidth="1"/>
    <col min="18" max="18" width="21.140625" customWidth="1"/>
    <col min="19" max="22" width="9.140625" style="10"/>
    <col min="24" max="24" width="10.5703125" customWidth="1"/>
  </cols>
  <sheetData>
    <row r="1" spans="1:27" ht="75" x14ac:dyDescent="0.25">
      <c r="A1" s="66" t="s">
        <v>150</v>
      </c>
      <c r="B1" s="66" t="s">
        <v>149</v>
      </c>
      <c r="C1" s="66" t="s">
        <v>151</v>
      </c>
      <c r="D1" s="66" t="s">
        <v>156</v>
      </c>
      <c r="E1" s="66" t="s">
        <v>152</v>
      </c>
      <c r="F1" s="66" t="s">
        <v>536</v>
      </c>
      <c r="G1" s="66" t="s">
        <v>154</v>
      </c>
      <c r="H1" s="66" t="s">
        <v>157</v>
      </c>
      <c r="I1" s="66" t="s">
        <v>155</v>
      </c>
      <c r="J1" s="66" t="s">
        <v>682</v>
      </c>
      <c r="K1" s="2" t="s">
        <v>150</v>
      </c>
      <c r="L1" s="13" t="s">
        <v>290</v>
      </c>
      <c r="M1" s="13" t="s">
        <v>484</v>
      </c>
      <c r="N1" s="13" t="s">
        <v>486</v>
      </c>
      <c r="O1" s="13" t="s">
        <v>485</v>
      </c>
      <c r="P1" s="13" t="s">
        <v>487</v>
      </c>
      <c r="Q1" s="13" t="s">
        <v>289</v>
      </c>
      <c r="R1" s="3" t="s">
        <v>154</v>
      </c>
      <c r="S1" s="13" t="s">
        <v>488</v>
      </c>
      <c r="T1" s="13" t="s">
        <v>489</v>
      </c>
      <c r="U1" s="13" t="s">
        <v>490</v>
      </c>
      <c r="V1" s="13" t="s">
        <v>491</v>
      </c>
      <c r="W1" s="13" t="s">
        <v>340</v>
      </c>
      <c r="X1" s="33" t="s">
        <v>492</v>
      </c>
      <c r="Y1" s="33" t="s">
        <v>349</v>
      </c>
      <c r="Z1" s="33" t="s">
        <v>350</v>
      </c>
      <c r="AA1" s="33" t="s">
        <v>482</v>
      </c>
    </row>
    <row r="2" spans="1:27" x14ac:dyDescent="0.25">
      <c r="A2" s="7" t="s">
        <v>6</v>
      </c>
      <c r="B2" s="95" t="s">
        <v>7</v>
      </c>
      <c r="C2" s="7">
        <v>24</v>
      </c>
      <c r="D2" s="7">
        <v>24</v>
      </c>
      <c r="E2" s="67">
        <v>0.66666669999999995</v>
      </c>
      <c r="F2" s="67">
        <v>0.75</v>
      </c>
      <c r="G2" s="67">
        <v>0.625</v>
      </c>
      <c r="H2" s="7" t="s">
        <v>671</v>
      </c>
      <c r="I2" s="7" t="s">
        <v>227</v>
      </c>
      <c r="J2" s="61">
        <v>3.4673099999999999</v>
      </c>
      <c r="K2" t="str">
        <f>A2</f>
        <v>7A6</v>
      </c>
      <c r="L2" s="11">
        <v>12</v>
      </c>
      <c r="M2">
        <v>6</v>
      </c>
      <c r="N2">
        <v>18</v>
      </c>
      <c r="O2" s="11">
        <f>L2-M2</f>
        <v>6</v>
      </c>
      <c r="P2" s="11">
        <f>N2-L2</f>
        <v>6</v>
      </c>
      <c r="Q2">
        <v>14</v>
      </c>
      <c r="R2" s="11">
        <v>63</v>
      </c>
      <c r="S2" s="10">
        <v>40.593640000000001</v>
      </c>
      <c r="T2" s="10">
        <v>81.200710000000001</v>
      </c>
      <c r="U2" s="182">
        <f>R2-S2</f>
        <v>22.406359999999999</v>
      </c>
      <c r="V2" s="182">
        <f>T2-R2</f>
        <v>18.200710000000001</v>
      </c>
      <c r="W2">
        <v>80</v>
      </c>
      <c r="X2">
        <f>IF('CEA Summary'!$O$4=2, L2, IF('CEA Summary'!$O$4=1,R2))</f>
        <v>12</v>
      </c>
      <c r="Y2" s="46">
        <f>IF('CEA Summary'!$O$4=2, O2, IF('CEA Summary'!$O$4=1, U2))</f>
        <v>6</v>
      </c>
      <c r="Z2" s="46">
        <f>IF('CEA Summary'!$O$4=2, P2, IF('CEA Summary'!$O$4=1, V2))</f>
        <v>6</v>
      </c>
      <c r="AA2" s="46">
        <f>IF('CEA Summary'!$O$4=2, Q2, IF('CEA Summary'!$O$4=1, W2))</f>
        <v>14</v>
      </c>
    </row>
    <row r="3" spans="1:27" x14ac:dyDescent="0.25">
      <c r="A3" s="7" t="s">
        <v>35</v>
      </c>
      <c r="B3" s="95" t="s">
        <v>353</v>
      </c>
      <c r="C3" s="7">
        <v>31</v>
      </c>
      <c r="D3" s="7">
        <v>29</v>
      </c>
      <c r="E3" s="67">
        <v>0.57142859999999995</v>
      </c>
      <c r="F3" s="67">
        <v>0.38709680000000002</v>
      </c>
      <c r="G3" s="67">
        <v>0.35714289999999999</v>
      </c>
      <c r="H3" s="7" t="s">
        <v>672</v>
      </c>
      <c r="I3" s="7" t="s">
        <v>242</v>
      </c>
      <c r="J3" s="61">
        <v>2.0990530000000001</v>
      </c>
      <c r="K3" t="str">
        <f t="shared" ref="K3:K64" si="0">A3</f>
        <v>RF4</v>
      </c>
      <c r="L3" s="11">
        <v>18</v>
      </c>
      <c r="M3">
        <v>9</v>
      </c>
      <c r="N3">
        <v>39</v>
      </c>
      <c r="O3" s="11">
        <f t="shared" ref="O3:O63" si="1">L3-M3</f>
        <v>9</v>
      </c>
      <c r="P3" s="11">
        <f t="shared" ref="P3:P63" si="2">N3-L3</f>
        <v>21</v>
      </c>
      <c r="Q3">
        <v>14</v>
      </c>
      <c r="R3" s="11">
        <v>36</v>
      </c>
      <c r="S3" s="10">
        <v>18.64067</v>
      </c>
      <c r="T3" s="10">
        <v>55.934969999999993</v>
      </c>
      <c r="U3" s="182">
        <f t="shared" ref="U3:U64" si="3">R3-S3</f>
        <v>17.35933</v>
      </c>
      <c r="V3" s="182">
        <f t="shared" ref="V3:V65" si="4">T3-R3</f>
        <v>19.934969999999993</v>
      </c>
      <c r="W3">
        <v>80</v>
      </c>
      <c r="X3">
        <f>IF('CEA Summary'!$O$4=2, L3, IF('CEA Summary'!$O$4=1,R3))</f>
        <v>18</v>
      </c>
      <c r="Y3" s="46">
        <f>IF('CEA Summary'!$O$4=2, O3, IF('CEA Summary'!$O$4=1, U3))</f>
        <v>9</v>
      </c>
      <c r="Z3" s="46">
        <f>IF('CEA Summary'!$O$4=2, P3, IF('CEA Summary'!$O$4=1, V3))</f>
        <v>21</v>
      </c>
      <c r="AA3" s="46">
        <f>IF('CEA Summary'!$O$4=2, Q3, IF('CEA Summary'!$O$4=1, W3))</f>
        <v>14</v>
      </c>
    </row>
    <row r="4" spans="1:27" x14ac:dyDescent="0.25">
      <c r="A4" s="7" t="s">
        <v>10</v>
      </c>
      <c r="B4" s="95" t="s">
        <v>11</v>
      </c>
      <c r="C4" s="7">
        <v>12</v>
      </c>
      <c r="D4" s="7">
        <v>12</v>
      </c>
      <c r="E4" s="67">
        <v>1</v>
      </c>
      <c r="F4" s="67">
        <v>0.66666669999999995</v>
      </c>
      <c r="G4" s="67">
        <v>1</v>
      </c>
      <c r="H4" s="7" t="s">
        <v>334</v>
      </c>
      <c r="I4" s="7" t="s">
        <v>550</v>
      </c>
      <c r="J4" s="61">
        <v>7.5641860000000003</v>
      </c>
      <c r="K4" t="str">
        <f t="shared" si="0"/>
        <v>R1H</v>
      </c>
      <c r="L4" s="11">
        <v>9</v>
      </c>
      <c r="M4">
        <v>7</v>
      </c>
      <c r="N4">
        <v>11</v>
      </c>
      <c r="O4" s="11">
        <f t="shared" si="1"/>
        <v>2</v>
      </c>
      <c r="P4" s="11">
        <f t="shared" si="2"/>
        <v>2</v>
      </c>
      <c r="Q4">
        <v>14</v>
      </c>
      <c r="R4" s="11">
        <v>100</v>
      </c>
      <c r="S4" s="10">
        <v>73.535150000000002</v>
      </c>
      <c r="T4" s="10">
        <v>100</v>
      </c>
      <c r="U4" s="182">
        <f t="shared" si="3"/>
        <v>26.464849999999998</v>
      </c>
      <c r="V4" s="182">
        <f t="shared" si="4"/>
        <v>0</v>
      </c>
      <c r="W4">
        <v>80</v>
      </c>
      <c r="X4">
        <f>IF('CEA Summary'!$O$4=2, L4, IF('CEA Summary'!$O$4=1,R4))</f>
        <v>9</v>
      </c>
      <c r="Y4" s="46">
        <f>IF('CEA Summary'!$O$4=2, O4, IF('CEA Summary'!$O$4=1, U4))</f>
        <v>2</v>
      </c>
      <c r="Z4" s="46">
        <f>IF('CEA Summary'!$O$4=2, P4, IF('CEA Summary'!$O$4=1, V4))</f>
        <v>2</v>
      </c>
      <c r="AA4" s="46">
        <f>IF('CEA Summary'!$O$4=2, Q4, IF('CEA Summary'!$O$4=1, W4))</f>
        <v>14</v>
      </c>
    </row>
    <row r="5" spans="1:27" x14ac:dyDescent="0.25">
      <c r="A5" s="7" t="s">
        <v>610</v>
      </c>
      <c r="B5" s="95" t="s">
        <v>611</v>
      </c>
      <c r="C5" s="7">
        <v>68</v>
      </c>
      <c r="D5" s="7">
        <v>61</v>
      </c>
      <c r="E5" s="67">
        <v>0.47540979999999999</v>
      </c>
      <c r="F5" s="67">
        <v>0.25</v>
      </c>
      <c r="G5" s="67">
        <v>0.34426230000000002</v>
      </c>
      <c r="H5" s="7" t="s">
        <v>647</v>
      </c>
      <c r="I5" s="7" t="s">
        <v>237</v>
      </c>
      <c r="J5" s="61">
        <v>2.7495980000000002</v>
      </c>
      <c r="K5" t="str">
        <f t="shared" si="0"/>
        <v>RC9</v>
      </c>
      <c r="L5" s="11">
        <v>20</v>
      </c>
      <c r="M5">
        <v>13</v>
      </c>
      <c r="N5">
        <v>34</v>
      </c>
      <c r="O5" s="11">
        <f t="shared" si="1"/>
        <v>7</v>
      </c>
      <c r="P5" s="11">
        <f t="shared" si="2"/>
        <v>14</v>
      </c>
      <c r="Q5">
        <v>14</v>
      </c>
      <c r="R5" s="11">
        <v>34</v>
      </c>
      <c r="S5" s="10">
        <v>22.725760000000001</v>
      </c>
      <c r="T5" s="10">
        <v>47.694850000000002</v>
      </c>
      <c r="U5" s="182">
        <f t="shared" si="3"/>
        <v>11.274239999999999</v>
      </c>
      <c r="V5" s="182">
        <f t="shared" si="4"/>
        <v>13.694850000000002</v>
      </c>
      <c r="W5">
        <v>80</v>
      </c>
      <c r="X5">
        <f>IF('CEA Summary'!$O$4=2, L5, IF('CEA Summary'!$O$4=1,R5))</f>
        <v>20</v>
      </c>
      <c r="Y5" s="46">
        <f>IF('CEA Summary'!$O$4=2, O5, IF('CEA Summary'!$O$4=1, U5))</f>
        <v>7</v>
      </c>
      <c r="Z5" s="46">
        <f>IF('CEA Summary'!$O$4=2, P5, IF('CEA Summary'!$O$4=1, V5))</f>
        <v>14</v>
      </c>
      <c r="AA5" s="46">
        <f>IF('CEA Summary'!$O$4=2, Q5, IF('CEA Summary'!$O$4=1, W5))</f>
        <v>14</v>
      </c>
    </row>
    <row r="6" spans="1:27" x14ac:dyDescent="0.25">
      <c r="A6" s="7" t="s">
        <v>147</v>
      </c>
      <c r="B6" s="95" t="s">
        <v>148</v>
      </c>
      <c r="C6" s="7">
        <v>103</v>
      </c>
      <c r="D6" s="109">
        <v>103</v>
      </c>
      <c r="E6" s="113">
        <v>0.64948450000000002</v>
      </c>
      <c r="F6" s="113">
        <v>0.41584159999999998</v>
      </c>
      <c r="G6" s="113">
        <v>0.45631070000000001</v>
      </c>
      <c r="H6" s="109" t="s">
        <v>667</v>
      </c>
      <c r="I6" s="109" t="s">
        <v>540</v>
      </c>
      <c r="J6" s="61">
        <v>3.1522589999999999</v>
      </c>
      <c r="K6" t="str">
        <f t="shared" si="0"/>
        <v>ZT001</v>
      </c>
      <c r="L6" s="11">
        <v>17</v>
      </c>
      <c r="M6">
        <v>8</v>
      </c>
      <c r="N6">
        <v>29</v>
      </c>
      <c r="O6" s="11">
        <f t="shared" si="1"/>
        <v>9</v>
      </c>
      <c r="P6" s="11">
        <f t="shared" si="2"/>
        <v>12</v>
      </c>
      <c r="Q6">
        <v>14</v>
      </c>
      <c r="R6" s="11">
        <v>46</v>
      </c>
      <c r="S6" s="10">
        <v>35.780560000000001</v>
      </c>
      <c r="T6" s="10">
        <v>55.739350000000002</v>
      </c>
      <c r="U6" s="182">
        <f t="shared" si="3"/>
        <v>10.219439999999999</v>
      </c>
      <c r="V6" s="182">
        <f t="shared" si="4"/>
        <v>9.7393500000000017</v>
      </c>
      <c r="W6">
        <v>80</v>
      </c>
      <c r="X6">
        <f>IF('CEA Summary'!$O$4=2, L6, IF('CEA Summary'!$O$4=1,R6))</f>
        <v>17</v>
      </c>
      <c r="Y6" s="46">
        <f>IF('CEA Summary'!$O$4=2, O6, IF('CEA Summary'!$O$4=1, U6))</f>
        <v>9</v>
      </c>
      <c r="Z6" s="46">
        <f>IF('CEA Summary'!$O$4=2, P6, IF('CEA Summary'!$O$4=1, V6))</f>
        <v>12</v>
      </c>
      <c r="AA6" s="46">
        <f>IF('CEA Summary'!$O$4=2, Q6, IF('CEA Summary'!$O$4=1, W6))</f>
        <v>14</v>
      </c>
    </row>
    <row r="7" spans="1:27" x14ac:dyDescent="0.25">
      <c r="A7" s="7" t="s">
        <v>0</v>
      </c>
      <c r="B7" s="95" t="s">
        <v>1</v>
      </c>
      <c r="C7" s="7">
        <v>29</v>
      </c>
      <c r="D7" s="7">
        <v>29</v>
      </c>
      <c r="E7" s="67">
        <v>0.75</v>
      </c>
      <c r="F7" s="67">
        <v>0.31034479999999998</v>
      </c>
      <c r="G7" s="67">
        <v>0.62068959999999995</v>
      </c>
      <c r="H7" s="7" t="s">
        <v>643</v>
      </c>
      <c r="I7" s="7" t="s">
        <v>235</v>
      </c>
      <c r="J7" s="61">
        <v>2.6556220000000001</v>
      </c>
      <c r="K7" t="str">
        <f t="shared" si="0"/>
        <v>7A1</v>
      </c>
      <c r="L7" s="11">
        <v>14</v>
      </c>
      <c r="M7">
        <v>12</v>
      </c>
      <c r="N7">
        <v>17</v>
      </c>
      <c r="O7" s="11">
        <f t="shared" si="1"/>
        <v>2</v>
      </c>
      <c r="P7" s="11">
        <f t="shared" si="2"/>
        <v>3</v>
      </c>
      <c r="Q7">
        <v>14</v>
      </c>
      <c r="R7" s="11">
        <v>62</v>
      </c>
      <c r="S7" s="10">
        <v>42.260469999999998</v>
      </c>
      <c r="T7" s="10">
        <v>79.313130000000001</v>
      </c>
      <c r="U7" s="182">
        <f t="shared" si="3"/>
        <v>19.739530000000002</v>
      </c>
      <c r="V7" s="182">
        <f t="shared" si="4"/>
        <v>17.313130000000001</v>
      </c>
      <c r="W7">
        <v>80</v>
      </c>
      <c r="X7">
        <f>IF('CEA Summary'!$O$4=2, L7, IF('CEA Summary'!$O$4=1,R7))</f>
        <v>14</v>
      </c>
      <c r="Y7" s="46">
        <f>IF('CEA Summary'!$O$4=2, O7, IF('CEA Summary'!$O$4=1, U7))</f>
        <v>2</v>
      </c>
      <c r="Z7" s="46">
        <f>IF('CEA Summary'!$O$4=2, P7, IF('CEA Summary'!$O$4=1, V7))</f>
        <v>3</v>
      </c>
      <c r="AA7" s="46">
        <f>IF('CEA Summary'!$O$4=2, Q7, IF('CEA Summary'!$O$4=1, W7))</f>
        <v>14</v>
      </c>
    </row>
    <row r="8" spans="1:27" x14ac:dyDescent="0.25">
      <c r="A8" s="7" t="s">
        <v>15</v>
      </c>
      <c r="B8" s="95" t="s">
        <v>16</v>
      </c>
      <c r="C8" s="7">
        <v>23</v>
      </c>
      <c r="D8" s="7">
        <v>22</v>
      </c>
      <c r="E8" s="67">
        <v>0.72727269999999999</v>
      </c>
      <c r="F8" s="67">
        <v>0.21739130000000001</v>
      </c>
      <c r="G8" s="67">
        <v>0.45454549999999999</v>
      </c>
      <c r="H8" s="7" t="s">
        <v>645</v>
      </c>
      <c r="I8" s="7" t="s">
        <v>235</v>
      </c>
      <c r="J8" s="61">
        <v>1.5458620000000001</v>
      </c>
      <c r="K8" t="str">
        <f t="shared" si="0"/>
        <v>RAE</v>
      </c>
      <c r="L8" s="11">
        <v>15</v>
      </c>
      <c r="M8">
        <v>12</v>
      </c>
      <c r="N8">
        <v>17</v>
      </c>
      <c r="O8" s="11">
        <f t="shared" si="1"/>
        <v>3</v>
      </c>
      <c r="P8" s="11">
        <f t="shared" si="2"/>
        <v>2</v>
      </c>
      <c r="Q8">
        <v>14</v>
      </c>
      <c r="R8" s="11">
        <v>45</v>
      </c>
      <c r="S8" s="10">
        <v>24.386189999999999</v>
      </c>
      <c r="T8" s="10">
        <v>67.78952000000001</v>
      </c>
      <c r="U8" s="182">
        <f t="shared" si="3"/>
        <v>20.613810000000001</v>
      </c>
      <c r="V8" s="182">
        <f t="shared" si="4"/>
        <v>22.78952000000001</v>
      </c>
      <c r="W8">
        <v>80</v>
      </c>
      <c r="X8">
        <f>IF('CEA Summary'!$O$4=2, L8, IF('CEA Summary'!$O$4=1,R8))</f>
        <v>15</v>
      </c>
      <c r="Y8" s="46">
        <f>IF('CEA Summary'!$O$4=2, O8, IF('CEA Summary'!$O$4=1, U8))</f>
        <v>3</v>
      </c>
      <c r="Z8" s="46">
        <f>IF('CEA Summary'!$O$4=2, P8, IF('CEA Summary'!$O$4=1, V8))</f>
        <v>2</v>
      </c>
      <c r="AA8" s="46">
        <f>IF('CEA Summary'!$O$4=2, Q8, IF('CEA Summary'!$O$4=1, W8))</f>
        <v>14</v>
      </c>
    </row>
    <row r="9" spans="1:27" x14ac:dyDescent="0.25">
      <c r="A9" s="7" t="s">
        <v>40</v>
      </c>
      <c r="B9" s="95" t="s">
        <v>41</v>
      </c>
      <c r="C9" s="7">
        <v>73</v>
      </c>
      <c r="D9" s="7">
        <v>68</v>
      </c>
      <c r="E9" s="67">
        <v>0.65151510000000001</v>
      </c>
      <c r="F9" s="67">
        <v>9.7222199999999995E-2</v>
      </c>
      <c r="G9" s="67">
        <v>0.27941179999999999</v>
      </c>
      <c r="H9" s="7" t="s">
        <v>673</v>
      </c>
      <c r="I9" s="7" t="s">
        <v>241</v>
      </c>
      <c r="J9" s="61">
        <v>1.0631550000000001</v>
      </c>
      <c r="K9" t="str">
        <f t="shared" si="0"/>
        <v>RGT</v>
      </c>
      <c r="L9" s="11">
        <v>25</v>
      </c>
      <c r="M9">
        <v>14</v>
      </c>
      <c r="N9">
        <v>40</v>
      </c>
      <c r="O9" s="11">
        <f t="shared" si="1"/>
        <v>11</v>
      </c>
      <c r="P9" s="11">
        <f t="shared" si="2"/>
        <v>15</v>
      </c>
      <c r="Q9">
        <v>14</v>
      </c>
      <c r="R9" s="11">
        <v>28</v>
      </c>
      <c r="S9" s="10">
        <v>17.734310000000001</v>
      </c>
      <c r="T9" s="10">
        <v>40.145870000000002</v>
      </c>
      <c r="U9" s="182">
        <f t="shared" si="3"/>
        <v>10.265689999999999</v>
      </c>
      <c r="V9" s="182">
        <f t="shared" si="4"/>
        <v>12.145870000000002</v>
      </c>
      <c r="W9">
        <v>80</v>
      </c>
      <c r="X9">
        <f>IF('CEA Summary'!$O$4=2, L9, IF('CEA Summary'!$O$4=1,R9))</f>
        <v>25</v>
      </c>
      <c r="Y9" s="46">
        <f>IF('CEA Summary'!$O$4=2, O9, IF('CEA Summary'!$O$4=1, U9))</f>
        <v>11</v>
      </c>
      <c r="Z9" s="46">
        <f>IF('CEA Summary'!$O$4=2, P9, IF('CEA Summary'!$O$4=1, V9))</f>
        <v>15</v>
      </c>
      <c r="AA9" s="46">
        <f>IF('CEA Summary'!$O$4=2, Q9, IF('CEA Summary'!$O$4=1, W9))</f>
        <v>14</v>
      </c>
    </row>
    <row r="10" spans="1:27" x14ac:dyDescent="0.25">
      <c r="A10" s="7" t="s">
        <v>3</v>
      </c>
      <c r="B10" s="95" t="s">
        <v>4</v>
      </c>
      <c r="C10" s="7">
        <v>6</v>
      </c>
      <c r="D10" s="7">
        <v>6</v>
      </c>
      <c r="E10" s="67" t="s">
        <v>276</v>
      </c>
      <c r="F10" s="67" t="s">
        <v>276</v>
      </c>
      <c r="G10" s="67" t="s">
        <v>276</v>
      </c>
      <c r="H10" s="67" t="s">
        <v>276</v>
      </c>
      <c r="I10" s="7" t="s">
        <v>268</v>
      </c>
      <c r="J10" s="61">
        <v>3.9202840000000001</v>
      </c>
      <c r="K10" t="str">
        <f t="shared" si="0"/>
        <v>7A4</v>
      </c>
      <c r="L10" s="11" t="s">
        <v>276</v>
      </c>
      <c r="M10" t="e">
        <v>#VALUE!</v>
      </c>
      <c r="N10" t="e">
        <v>#VALUE!</v>
      </c>
      <c r="O10" s="11" t="e">
        <f t="shared" si="1"/>
        <v>#VALUE!</v>
      </c>
      <c r="P10" s="11" t="e">
        <f t="shared" si="2"/>
        <v>#VALUE!</v>
      </c>
      <c r="Q10">
        <v>14</v>
      </c>
      <c r="R10" s="11" t="e">
        <v>#VALUE!</v>
      </c>
      <c r="S10" s="10" t="e">
        <v>#N/A</v>
      </c>
      <c r="T10" s="10" t="e">
        <v>#N/A</v>
      </c>
      <c r="U10" s="182" t="e">
        <f t="shared" si="3"/>
        <v>#VALUE!</v>
      </c>
      <c r="V10" s="182" t="e">
        <f t="shared" si="4"/>
        <v>#N/A</v>
      </c>
      <c r="W10">
        <v>80</v>
      </c>
      <c r="X10" t="str">
        <f>IF('CEA Summary'!$O$4=2, L10, IF('CEA Summary'!$O$4=1,R10))</f>
        <v>N/A</v>
      </c>
      <c r="Y10" s="46" t="e">
        <f>IF('CEA Summary'!$O$4=2, O10, IF('CEA Summary'!$O$4=1, U10))</f>
        <v>#VALUE!</v>
      </c>
      <c r="Z10" s="46" t="e">
        <f>IF('CEA Summary'!$O$4=2, P10, IF('CEA Summary'!$O$4=1, V10))</f>
        <v>#VALUE!</v>
      </c>
      <c r="AA10" s="46">
        <f>IF('CEA Summary'!$O$4=2, Q10, IF('CEA Summary'!$O$4=1, W10))</f>
        <v>14</v>
      </c>
    </row>
    <row r="11" spans="1:27" x14ac:dyDescent="0.25">
      <c r="A11" s="7" t="s">
        <v>56</v>
      </c>
      <c r="B11" s="95" t="s">
        <v>57</v>
      </c>
      <c r="C11" s="7">
        <v>64</v>
      </c>
      <c r="D11" s="7">
        <v>63</v>
      </c>
      <c r="E11" s="67">
        <v>0.6612903</v>
      </c>
      <c r="F11" s="67">
        <v>0.15625</v>
      </c>
      <c r="G11" s="67">
        <v>0.31746029999999997</v>
      </c>
      <c r="H11" s="7" t="s">
        <v>651</v>
      </c>
      <c r="I11" s="7" t="s">
        <v>252</v>
      </c>
      <c r="J11" s="61">
        <v>1.1826019999999999</v>
      </c>
      <c r="K11" t="str">
        <f t="shared" si="0"/>
        <v>RJR</v>
      </c>
      <c r="L11" s="11">
        <v>18</v>
      </c>
      <c r="M11">
        <v>14</v>
      </c>
      <c r="N11">
        <v>32</v>
      </c>
      <c r="O11" s="11">
        <f t="shared" si="1"/>
        <v>4</v>
      </c>
      <c r="P11" s="11">
        <f t="shared" si="2"/>
        <v>14</v>
      </c>
      <c r="Q11">
        <v>14</v>
      </c>
      <c r="R11" s="11">
        <v>32</v>
      </c>
      <c r="S11" s="10">
        <v>20.584890000000001</v>
      </c>
      <c r="T11" s="10">
        <v>44.688769999999998</v>
      </c>
      <c r="U11" s="182">
        <f t="shared" si="3"/>
        <v>11.415109999999999</v>
      </c>
      <c r="V11" s="182">
        <f t="shared" si="4"/>
        <v>12.688769999999998</v>
      </c>
      <c r="W11">
        <v>80</v>
      </c>
      <c r="X11">
        <f>IF('CEA Summary'!$O$4=2, L11, IF('CEA Summary'!$O$4=1,R11))</f>
        <v>18</v>
      </c>
      <c r="Y11" s="46">
        <f>IF('CEA Summary'!$O$4=2, O11, IF('CEA Summary'!$O$4=1, U11))</f>
        <v>4</v>
      </c>
      <c r="Z11" s="46">
        <f>IF('CEA Summary'!$O$4=2, P11, IF('CEA Summary'!$O$4=1, V11))</f>
        <v>14</v>
      </c>
      <c r="AA11" s="46">
        <f>IF('CEA Summary'!$O$4=2, Q11, IF('CEA Summary'!$O$4=1, W11))</f>
        <v>14</v>
      </c>
    </row>
    <row r="12" spans="1:27" x14ac:dyDescent="0.25">
      <c r="A12" s="7" t="s">
        <v>74</v>
      </c>
      <c r="B12" s="95" t="s">
        <v>355</v>
      </c>
      <c r="C12" s="7">
        <v>48</v>
      </c>
      <c r="D12" s="7">
        <v>48</v>
      </c>
      <c r="E12" s="67">
        <v>0.70833330000000005</v>
      </c>
      <c r="F12" s="67">
        <v>0.4166667</v>
      </c>
      <c r="G12" s="67">
        <v>0.58333330000000005</v>
      </c>
      <c r="H12" s="7" t="s">
        <v>674</v>
      </c>
      <c r="I12" s="7" t="s">
        <v>237</v>
      </c>
      <c r="J12" s="61">
        <v>0.75832889999999997</v>
      </c>
      <c r="K12" t="str">
        <f t="shared" si="0"/>
        <v>RP5</v>
      </c>
      <c r="L12" s="11">
        <v>14</v>
      </c>
      <c r="M12">
        <v>9</v>
      </c>
      <c r="N12">
        <v>19</v>
      </c>
      <c r="O12" s="11">
        <f t="shared" si="1"/>
        <v>5</v>
      </c>
      <c r="P12" s="11">
        <f t="shared" si="2"/>
        <v>5</v>
      </c>
      <c r="Q12">
        <v>14</v>
      </c>
      <c r="R12" s="11">
        <v>58</v>
      </c>
      <c r="S12" s="10">
        <v>43.213169999999998</v>
      </c>
      <c r="T12" s="10">
        <v>72.387259999999998</v>
      </c>
      <c r="U12" s="182">
        <f t="shared" si="3"/>
        <v>14.786830000000002</v>
      </c>
      <c r="V12" s="182">
        <f t="shared" si="4"/>
        <v>14.387259999999998</v>
      </c>
      <c r="W12">
        <v>80</v>
      </c>
      <c r="X12">
        <f>IF('CEA Summary'!$O$4=2, L12, IF('CEA Summary'!$O$4=1,R12))</f>
        <v>14</v>
      </c>
      <c r="Y12" s="46">
        <f>IF('CEA Summary'!$O$4=2, O12, IF('CEA Summary'!$O$4=1, U12))</f>
        <v>5</v>
      </c>
      <c r="Z12" s="46">
        <f>IF('CEA Summary'!$O$4=2, P12, IF('CEA Summary'!$O$4=1, V12))</f>
        <v>5</v>
      </c>
      <c r="AA12" s="46">
        <f>IF('CEA Summary'!$O$4=2, Q12, IF('CEA Summary'!$O$4=1, W12))</f>
        <v>14</v>
      </c>
    </row>
    <row r="13" spans="1:27" x14ac:dyDescent="0.25">
      <c r="A13" s="7" t="s">
        <v>113</v>
      </c>
      <c r="B13" s="95" t="s">
        <v>114</v>
      </c>
      <c r="C13" s="7">
        <v>25</v>
      </c>
      <c r="D13" s="109">
        <v>22</v>
      </c>
      <c r="E13" s="113">
        <v>0.85714290000000004</v>
      </c>
      <c r="F13" s="113">
        <v>0.75</v>
      </c>
      <c r="G13" s="113">
        <v>0.77272730000000001</v>
      </c>
      <c r="H13" s="109" t="s">
        <v>211</v>
      </c>
      <c r="I13" s="109" t="s">
        <v>550</v>
      </c>
      <c r="J13" s="61">
        <v>2.6332740000000001</v>
      </c>
      <c r="K13" t="str">
        <f t="shared" si="0"/>
        <v>RWH</v>
      </c>
      <c r="L13" s="11">
        <v>7</v>
      </c>
      <c r="M13">
        <v>5</v>
      </c>
      <c r="N13">
        <v>13</v>
      </c>
      <c r="O13" s="11">
        <f t="shared" si="1"/>
        <v>2</v>
      </c>
      <c r="P13" s="11">
        <f t="shared" si="2"/>
        <v>6</v>
      </c>
      <c r="Q13">
        <v>14</v>
      </c>
      <c r="R13" s="11">
        <v>77</v>
      </c>
      <c r="S13" s="10">
        <v>54.629640000000002</v>
      </c>
      <c r="T13" s="10">
        <v>92.179379999999995</v>
      </c>
      <c r="U13" s="182">
        <f t="shared" si="3"/>
        <v>22.370359999999998</v>
      </c>
      <c r="V13" s="182">
        <f t="shared" si="4"/>
        <v>15.179379999999995</v>
      </c>
      <c r="W13">
        <v>80</v>
      </c>
      <c r="X13">
        <f>IF('CEA Summary'!$O$4=2, L13, IF('CEA Summary'!$O$4=1,R13))</f>
        <v>7</v>
      </c>
      <c r="Y13" s="46">
        <f>IF('CEA Summary'!$O$4=2, O13, IF('CEA Summary'!$O$4=1, U13))</f>
        <v>2</v>
      </c>
      <c r="Z13" s="46">
        <f>IF('CEA Summary'!$O$4=2, P13, IF('CEA Summary'!$O$4=1, V13))</f>
        <v>6</v>
      </c>
      <c r="AA13" s="46">
        <f>IF('CEA Summary'!$O$4=2, Q13, IF('CEA Summary'!$O$4=1, W13))</f>
        <v>14</v>
      </c>
    </row>
    <row r="14" spans="1:27" x14ac:dyDescent="0.25">
      <c r="A14" s="7" t="s">
        <v>102</v>
      </c>
      <c r="B14" s="95" t="s">
        <v>103</v>
      </c>
      <c r="C14" s="7">
        <v>49</v>
      </c>
      <c r="D14" s="109">
        <v>46</v>
      </c>
      <c r="E14" s="113">
        <v>0.86363639999999997</v>
      </c>
      <c r="F14" s="113">
        <v>0.72916669999999995</v>
      </c>
      <c r="G14" s="113">
        <v>0.80434779999999995</v>
      </c>
      <c r="H14" s="109" t="s">
        <v>270</v>
      </c>
      <c r="I14" s="109" t="s">
        <v>190</v>
      </c>
      <c r="J14" s="61">
        <v>2.145562</v>
      </c>
      <c r="K14" t="str">
        <f t="shared" si="0"/>
        <v>RVV</v>
      </c>
      <c r="L14" s="11">
        <v>7</v>
      </c>
      <c r="M14">
        <v>4</v>
      </c>
      <c r="N14">
        <v>11</v>
      </c>
      <c r="O14" s="11">
        <f t="shared" si="1"/>
        <v>3</v>
      </c>
      <c r="P14" s="11">
        <f t="shared" si="2"/>
        <v>4</v>
      </c>
      <c r="Q14">
        <v>14</v>
      </c>
      <c r="R14" s="11">
        <v>80</v>
      </c>
      <c r="S14" s="10">
        <v>66.085239999999999</v>
      </c>
      <c r="T14" s="10">
        <v>90.64242999999999</v>
      </c>
      <c r="U14" s="182">
        <f t="shared" si="3"/>
        <v>13.914760000000001</v>
      </c>
      <c r="V14" s="182">
        <f t="shared" si="4"/>
        <v>10.64242999999999</v>
      </c>
      <c r="W14">
        <v>80</v>
      </c>
      <c r="X14">
        <f>IF('CEA Summary'!$O$4=2, L14, IF('CEA Summary'!$O$4=1,R14))</f>
        <v>7</v>
      </c>
      <c r="Y14" s="46">
        <f>IF('CEA Summary'!$O$4=2, O14, IF('CEA Summary'!$O$4=1, U14))</f>
        <v>3</v>
      </c>
      <c r="Z14" s="46">
        <f>IF('CEA Summary'!$O$4=2, P14, IF('CEA Summary'!$O$4=1, V14))</f>
        <v>4</v>
      </c>
      <c r="AA14" s="46">
        <f>IF('CEA Summary'!$O$4=2, Q14, IF('CEA Summary'!$O$4=1, W14))</f>
        <v>14</v>
      </c>
    </row>
    <row r="15" spans="1:27" x14ac:dyDescent="0.25">
      <c r="A15" s="7" t="s">
        <v>125</v>
      </c>
      <c r="B15" s="95" t="s">
        <v>126</v>
      </c>
      <c r="C15" s="7">
        <v>37</v>
      </c>
      <c r="D15" s="109">
        <v>35</v>
      </c>
      <c r="E15" s="113">
        <v>0.6857143</v>
      </c>
      <c r="F15" s="113">
        <v>0.48648649999999999</v>
      </c>
      <c r="G15" s="113">
        <v>0.54285720000000004</v>
      </c>
      <c r="H15" s="109" t="s">
        <v>662</v>
      </c>
      <c r="I15" s="109" t="s">
        <v>235</v>
      </c>
      <c r="J15" s="61">
        <v>4.0935969999999999</v>
      </c>
      <c r="K15" t="str">
        <f t="shared" si="0"/>
        <v>RXR</v>
      </c>
      <c r="L15" s="11">
        <v>13</v>
      </c>
      <c r="M15">
        <v>8</v>
      </c>
      <c r="N15">
        <v>30</v>
      </c>
      <c r="O15" s="11">
        <f t="shared" si="1"/>
        <v>5</v>
      </c>
      <c r="P15" s="11">
        <f t="shared" si="2"/>
        <v>17</v>
      </c>
      <c r="Q15">
        <v>14</v>
      </c>
      <c r="R15" s="11">
        <v>54</v>
      </c>
      <c r="S15" s="10">
        <v>36.645800000000001</v>
      </c>
      <c r="T15" s="10">
        <v>71.17286</v>
      </c>
      <c r="U15" s="182">
        <f t="shared" si="3"/>
        <v>17.354199999999999</v>
      </c>
      <c r="V15" s="182">
        <f t="shared" si="4"/>
        <v>17.17286</v>
      </c>
      <c r="W15">
        <v>80</v>
      </c>
      <c r="X15">
        <f>IF('CEA Summary'!$O$4=2, L15, IF('CEA Summary'!$O$4=1,R15))</f>
        <v>13</v>
      </c>
      <c r="Y15" s="46">
        <f>IF('CEA Summary'!$O$4=2, O15, IF('CEA Summary'!$O$4=1, U15))</f>
        <v>5</v>
      </c>
      <c r="Z15" s="46">
        <f>IF('CEA Summary'!$O$4=2, P15, IF('CEA Summary'!$O$4=1, V15))</f>
        <v>17</v>
      </c>
      <c r="AA15" s="46">
        <f>IF('CEA Summary'!$O$4=2, Q15, IF('CEA Summary'!$O$4=1, W15))</f>
        <v>14</v>
      </c>
    </row>
    <row r="16" spans="1:27" x14ac:dyDescent="0.25">
      <c r="A16" s="7" t="s">
        <v>29</v>
      </c>
      <c r="B16" s="95" t="s">
        <v>170</v>
      </c>
      <c r="C16" s="7">
        <v>36</v>
      </c>
      <c r="D16" s="7">
        <v>36</v>
      </c>
      <c r="E16" s="67">
        <v>0.63888889999999998</v>
      </c>
      <c r="F16" s="67">
        <v>0.4166667</v>
      </c>
      <c r="G16" s="67">
        <v>0.4166667</v>
      </c>
      <c r="H16" s="7" t="s">
        <v>675</v>
      </c>
      <c r="I16" s="7" t="s">
        <v>226</v>
      </c>
      <c r="J16" s="61">
        <v>3.0275300000000001</v>
      </c>
      <c r="K16" t="str">
        <f t="shared" si="0"/>
        <v>RDE</v>
      </c>
      <c r="L16" s="11">
        <v>16</v>
      </c>
      <c r="M16">
        <v>11</v>
      </c>
      <c r="N16">
        <v>26</v>
      </c>
      <c r="O16" s="11">
        <f t="shared" si="1"/>
        <v>5</v>
      </c>
      <c r="P16" s="11">
        <f t="shared" si="2"/>
        <v>10</v>
      </c>
      <c r="Q16">
        <v>14</v>
      </c>
      <c r="R16" s="11">
        <v>42</v>
      </c>
      <c r="S16" s="10">
        <v>25.514099999999999</v>
      </c>
      <c r="T16" s="10">
        <v>59.243480000000005</v>
      </c>
      <c r="U16" s="182">
        <f t="shared" si="3"/>
        <v>16.485900000000001</v>
      </c>
      <c r="V16" s="182">
        <f t="shared" si="4"/>
        <v>17.243480000000005</v>
      </c>
      <c r="W16">
        <v>80</v>
      </c>
      <c r="X16">
        <f>IF('CEA Summary'!$O$4=2, L16, IF('CEA Summary'!$O$4=1,R16))</f>
        <v>16</v>
      </c>
      <c r="Y16" s="46">
        <f>IF('CEA Summary'!$O$4=2, O16, IF('CEA Summary'!$O$4=1, U16))</f>
        <v>5</v>
      </c>
      <c r="Z16" s="46">
        <f>IF('CEA Summary'!$O$4=2, P16, IF('CEA Summary'!$O$4=1, V16))</f>
        <v>10</v>
      </c>
      <c r="AA16" s="46">
        <f>IF('CEA Summary'!$O$4=2, Q16, IF('CEA Summary'!$O$4=1, W16))</f>
        <v>14</v>
      </c>
    </row>
    <row r="17" spans="1:27" x14ac:dyDescent="0.25">
      <c r="A17" s="7" t="s">
        <v>30</v>
      </c>
      <c r="B17" s="95" t="s">
        <v>31</v>
      </c>
      <c r="C17" s="7">
        <v>28</v>
      </c>
      <c r="D17" s="7">
        <v>27</v>
      </c>
      <c r="E17" s="67">
        <v>0.80769230000000003</v>
      </c>
      <c r="F17" s="67">
        <v>0.81481479999999995</v>
      </c>
      <c r="G17" s="67">
        <v>0.92592589999999997</v>
      </c>
      <c r="H17" s="7" t="s">
        <v>263</v>
      </c>
      <c r="I17" s="7" t="s">
        <v>245</v>
      </c>
      <c r="J17" s="61">
        <v>3.7102759999999999</v>
      </c>
      <c r="K17" t="str">
        <f t="shared" si="0"/>
        <v>RDU</v>
      </c>
      <c r="L17" s="11">
        <v>7</v>
      </c>
      <c r="M17">
        <v>5</v>
      </c>
      <c r="N17">
        <v>10</v>
      </c>
      <c r="O17" s="11">
        <f t="shared" si="1"/>
        <v>2</v>
      </c>
      <c r="P17" s="11">
        <f t="shared" si="2"/>
        <v>3</v>
      </c>
      <c r="Q17">
        <v>14</v>
      </c>
      <c r="R17" s="11">
        <v>93</v>
      </c>
      <c r="S17" s="10">
        <v>75.710170000000005</v>
      </c>
      <c r="T17" s="10">
        <v>99.08999</v>
      </c>
      <c r="U17" s="182">
        <f t="shared" si="3"/>
        <v>17.289829999999995</v>
      </c>
      <c r="V17" s="182">
        <f t="shared" si="4"/>
        <v>6.0899900000000002</v>
      </c>
      <c r="W17">
        <v>80</v>
      </c>
      <c r="X17">
        <f>IF('CEA Summary'!$O$4=2, L17, IF('CEA Summary'!$O$4=1,R17))</f>
        <v>7</v>
      </c>
      <c r="Y17" s="46">
        <f>IF('CEA Summary'!$O$4=2, O17, IF('CEA Summary'!$O$4=1, U17))</f>
        <v>2</v>
      </c>
      <c r="Z17" s="46">
        <f>IF('CEA Summary'!$O$4=2, P17, IF('CEA Summary'!$O$4=1, V17))</f>
        <v>3</v>
      </c>
      <c r="AA17" s="46">
        <f>IF('CEA Summary'!$O$4=2, Q17, IF('CEA Summary'!$O$4=1, W17))</f>
        <v>14</v>
      </c>
    </row>
    <row r="18" spans="1:27" x14ac:dyDescent="0.25">
      <c r="A18" s="7" t="s">
        <v>93</v>
      </c>
      <c r="B18" s="95" t="s">
        <v>94</v>
      </c>
      <c r="C18" s="7">
        <v>68</v>
      </c>
      <c r="D18" s="109">
        <v>63</v>
      </c>
      <c r="E18" s="113">
        <v>0.59016389999999996</v>
      </c>
      <c r="F18" s="113">
        <v>0.29411769999999998</v>
      </c>
      <c r="G18" s="113">
        <v>0.34920639999999997</v>
      </c>
      <c r="H18" s="109" t="s">
        <v>656</v>
      </c>
      <c r="I18" s="109" t="s">
        <v>220</v>
      </c>
      <c r="J18" s="61">
        <v>1.1565780000000001</v>
      </c>
      <c r="K18" t="str">
        <f t="shared" si="0"/>
        <v>RTE</v>
      </c>
      <c r="L18" s="11">
        <v>22</v>
      </c>
      <c r="M18">
        <v>13</v>
      </c>
      <c r="N18">
        <v>42</v>
      </c>
      <c r="O18" s="11">
        <f t="shared" si="1"/>
        <v>9</v>
      </c>
      <c r="P18" s="11">
        <f t="shared" si="2"/>
        <v>20</v>
      </c>
      <c r="Q18">
        <v>14</v>
      </c>
      <c r="R18" s="11">
        <v>35</v>
      </c>
      <c r="S18" s="10">
        <v>23.337060000000001</v>
      </c>
      <c r="T18" s="10">
        <v>47.973379999999999</v>
      </c>
      <c r="U18" s="182">
        <f t="shared" si="3"/>
        <v>11.662939999999999</v>
      </c>
      <c r="V18" s="182">
        <f t="shared" si="4"/>
        <v>12.973379999999999</v>
      </c>
      <c r="W18">
        <v>80</v>
      </c>
      <c r="X18">
        <f>IF('CEA Summary'!$O$4=2, L18, IF('CEA Summary'!$O$4=1,R18))</f>
        <v>22</v>
      </c>
      <c r="Y18" s="46">
        <f>IF('CEA Summary'!$O$4=2, O18, IF('CEA Summary'!$O$4=1, U18))</f>
        <v>9</v>
      </c>
      <c r="Z18" s="46">
        <f>IF('CEA Summary'!$O$4=2, P18, IF('CEA Summary'!$O$4=1, V18))</f>
        <v>20</v>
      </c>
      <c r="AA18" s="46">
        <f>IF('CEA Summary'!$O$4=2, Q18, IF('CEA Summary'!$O$4=1, W18))</f>
        <v>14</v>
      </c>
    </row>
    <row r="19" spans="1:27" x14ac:dyDescent="0.25">
      <c r="A19" s="7" t="s">
        <v>50</v>
      </c>
      <c r="B19" s="95" t="s">
        <v>51</v>
      </c>
      <c r="C19" s="7">
        <v>26</v>
      </c>
      <c r="D19" s="7">
        <v>22</v>
      </c>
      <c r="E19" s="67">
        <v>0.72727269999999999</v>
      </c>
      <c r="F19" s="67">
        <v>0.26923079999999999</v>
      </c>
      <c r="G19" s="67">
        <v>0.63636360000000003</v>
      </c>
      <c r="H19" s="7" t="s">
        <v>676</v>
      </c>
      <c r="I19" s="7" t="s">
        <v>174</v>
      </c>
      <c r="J19" s="61">
        <v>3.5766100000000001</v>
      </c>
      <c r="K19" t="str">
        <f t="shared" si="0"/>
        <v>RJ1</v>
      </c>
      <c r="L19" s="11">
        <v>14</v>
      </c>
      <c r="M19">
        <v>11</v>
      </c>
      <c r="N19">
        <v>19</v>
      </c>
      <c r="O19" s="11">
        <f t="shared" si="1"/>
        <v>3</v>
      </c>
      <c r="P19" s="11">
        <f t="shared" si="2"/>
        <v>5</v>
      </c>
      <c r="Q19">
        <v>14</v>
      </c>
      <c r="R19" s="11">
        <v>64</v>
      </c>
      <c r="S19" s="10">
        <v>40.657670000000003</v>
      </c>
      <c r="T19" s="10">
        <v>82.802059999999997</v>
      </c>
      <c r="U19" s="182">
        <f t="shared" si="3"/>
        <v>23.342329999999997</v>
      </c>
      <c r="V19" s="182">
        <f t="shared" si="4"/>
        <v>18.802059999999997</v>
      </c>
      <c r="W19">
        <v>80</v>
      </c>
      <c r="X19">
        <f>IF('CEA Summary'!$O$4=2, L19, IF('CEA Summary'!$O$4=1,R19))</f>
        <v>14</v>
      </c>
      <c r="Y19" s="46">
        <f>IF('CEA Summary'!$O$4=2, O19, IF('CEA Summary'!$O$4=1, U19))</f>
        <v>3</v>
      </c>
      <c r="Z19" s="46">
        <f>IF('CEA Summary'!$O$4=2, P19, IF('CEA Summary'!$O$4=1, V19))</f>
        <v>5</v>
      </c>
      <c r="AA19" s="46">
        <f>IF('CEA Summary'!$O$4=2, Q19, IF('CEA Summary'!$O$4=1, W19))</f>
        <v>14</v>
      </c>
    </row>
    <row r="20" spans="1:27" x14ac:dyDescent="0.25">
      <c r="A20" s="7" t="s">
        <v>106</v>
      </c>
      <c r="B20" s="95" t="s">
        <v>356</v>
      </c>
      <c r="C20" s="7">
        <v>64</v>
      </c>
      <c r="D20" s="109">
        <v>63</v>
      </c>
      <c r="E20" s="113">
        <v>0.78688530000000001</v>
      </c>
      <c r="F20" s="113">
        <v>0.61904760000000003</v>
      </c>
      <c r="G20" s="113">
        <v>0.64516130000000005</v>
      </c>
      <c r="H20" s="109" t="s">
        <v>658</v>
      </c>
      <c r="I20" s="109" t="s">
        <v>188</v>
      </c>
      <c r="J20" s="61">
        <v>5.0307769999999996</v>
      </c>
      <c r="K20" t="str">
        <f t="shared" si="0"/>
        <v>RWA</v>
      </c>
      <c r="L20" s="11">
        <v>10</v>
      </c>
      <c r="M20">
        <v>6</v>
      </c>
      <c r="N20">
        <v>21</v>
      </c>
      <c r="O20" s="11">
        <f t="shared" si="1"/>
        <v>4</v>
      </c>
      <c r="P20" s="11">
        <f t="shared" si="2"/>
        <v>11</v>
      </c>
      <c r="Q20">
        <v>14</v>
      </c>
      <c r="R20" s="11">
        <v>65</v>
      </c>
      <c r="S20" s="10">
        <v>51.336660000000002</v>
      </c>
      <c r="T20" s="10">
        <v>76.258570000000006</v>
      </c>
      <c r="U20" s="182">
        <f t="shared" si="3"/>
        <v>13.663339999999998</v>
      </c>
      <c r="V20" s="182">
        <f t="shared" si="4"/>
        <v>11.258570000000006</v>
      </c>
      <c r="W20">
        <v>80</v>
      </c>
      <c r="X20">
        <f>IF('CEA Summary'!$O$4=2, L20, IF('CEA Summary'!$O$4=1,R20))</f>
        <v>10</v>
      </c>
      <c r="Y20" s="46">
        <f>IF('CEA Summary'!$O$4=2, O20, IF('CEA Summary'!$O$4=1, U20))</f>
        <v>4</v>
      </c>
      <c r="Z20" s="46">
        <f>IF('CEA Summary'!$O$4=2, P20, IF('CEA Summary'!$O$4=1, V20))</f>
        <v>11</v>
      </c>
      <c r="AA20" s="46">
        <f>IF('CEA Summary'!$O$4=2, Q20, IF('CEA Summary'!$O$4=1, W20))</f>
        <v>14</v>
      </c>
    </row>
    <row r="21" spans="1:27" x14ac:dyDescent="0.25">
      <c r="A21" s="7" t="s">
        <v>129</v>
      </c>
      <c r="B21" s="95" t="s">
        <v>130</v>
      </c>
      <c r="C21" s="7">
        <v>50</v>
      </c>
      <c r="D21" s="109">
        <v>43</v>
      </c>
      <c r="E21" s="113">
        <v>0.76190480000000005</v>
      </c>
      <c r="F21" s="113">
        <v>0.62</v>
      </c>
      <c r="G21" s="113">
        <v>0.72093019999999997</v>
      </c>
      <c r="H21" s="109" t="s">
        <v>663</v>
      </c>
      <c r="I21" s="109" t="s">
        <v>234</v>
      </c>
      <c r="J21" s="61">
        <v>3.511037</v>
      </c>
      <c r="K21" t="str">
        <f t="shared" si="0"/>
        <v>RYJ</v>
      </c>
      <c r="L21" s="11">
        <v>7</v>
      </c>
      <c r="M21">
        <v>5</v>
      </c>
      <c r="N21">
        <v>17</v>
      </c>
      <c r="O21" s="11">
        <f t="shared" si="1"/>
        <v>2</v>
      </c>
      <c r="P21" s="11">
        <f t="shared" si="2"/>
        <v>10</v>
      </c>
      <c r="Q21">
        <v>14</v>
      </c>
      <c r="R21" s="11">
        <v>72</v>
      </c>
      <c r="S21" s="10">
        <v>56.331310000000002</v>
      </c>
      <c r="T21" s="10">
        <v>84.67107</v>
      </c>
      <c r="U21" s="182">
        <f t="shared" si="3"/>
        <v>15.668689999999998</v>
      </c>
      <c r="V21" s="182">
        <f t="shared" si="4"/>
        <v>12.67107</v>
      </c>
      <c r="W21">
        <v>80</v>
      </c>
      <c r="X21">
        <f>IF('CEA Summary'!$O$4=2, L21, IF('CEA Summary'!$O$4=1,R21))</f>
        <v>7</v>
      </c>
      <c r="Y21" s="46">
        <f>IF('CEA Summary'!$O$4=2, O21, IF('CEA Summary'!$O$4=1, U21))</f>
        <v>2</v>
      </c>
      <c r="Z21" s="46">
        <f>IF('CEA Summary'!$O$4=2, P21, IF('CEA Summary'!$O$4=1, V21))</f>
        <v>10</v>
      </c>
      <c r="AA21" s="46">
        <f>IF('CEA Summary'!$O$4=2, Q21, IF('CEA Summary'!$O$4=1, W21))</f>
        <v>14</v>
      </c>
    </row>
    <row r="22" spans="1:27" x14ac:dyDescent="0.25">
      <c r="A22" s="7" t="s">
        <v>58</v>
      </c>
      <c r="B22" s="95" t="s">
        <v>59</v>
      </c>
      <c r="C22" s="7">
        <v>83</v>
      </c>
      <c r="D22" s="7">
        <v>78</v>
      </c>
      <c r="E22" s="113">
        <v>0.85135139999999998</v>
      </c>
      <c r="F22" s="113">
        <v>0.25925930000000003</v>
      </c>
      <c r="G22" s="113">
        <v>0.46753250000000002</v>
      </c>
      <c r="H22" s="109" t="s">
        <v>652</v>
      </c>
      <c r="I22" s="7" t="s">
        <v>173</v>
      </c>
      <c r="J22" s="61">
        <v>1.604722</v>
      </c>
      <c r="K22" t="str">
        <f t="shared" si="0"/>
        <v>RJZ</v>
      </c>
      <c r="L22" s="11">
        <v>18</v>
      </c>
      <c r="M22">
        <v>8</v>
      </c>
      <c r="N22">
        <v>35</v>
      </c>
      <c r="O22" s="11">
        <f t="shared" si="1"/>
        <v>10</v>
      </c>
      <c r="P22" s="11">
        <f t="shared" si="2"/>
        <v>17</v>
      </c>
      <c r="Q22">
        <v>14</v>
      </c>
      <c r="R22" s="11">
        <v>47</v>
      </c>
      <c r="S22" s="10">
        <v>35.285109999999996</v>
      </c>
      <c r="T22" s="10">
        <v>58.478680000000004</v>
      </c>
      <c r="U22" s="182">
        <f t="shared" si="3"/>
        <v>11.714890000000004</v>
      </c>
      <c r="V22" s="182">
        <f t="shared" si="4"/>
        <v>11.478680000000004</v>
      </c>
      <c r="W22">
        <v>80</v>
      </c>
      <c r="X22">
        <f>IF('CEA Summary'!$O$4=2, L22, IF('CEA Summary'!$O$4=1,R22))</f>
        <v>18</v>
      </c>
      <c r="Y22" s="46">
        <f>IF('CEA Summary'!$O$4=2, O22, IF('CEA Summary'!$O$4=1, U22))</f>
        <v>10</v>
      </c>
      <c r="Z22" s="46">
        <f>IF('CEA Summary'!$O$4=2, P22, IF('CEA Summary'!$O$4=1, V22))</f>
        <v>17</v>
      </c>
      <c r="AA22" s="46">
        <f>IF('CEA Summary'!$O$4=2, Q22, IF('CEA Summary'!$O$4=1, W22))</f>
        <v>14</v>
      </c>
    </row>
    <row r="23" spans="1:27" x14ac:dyDescent="0.25">
      <c r="A23" s="7" t="s">
        <v>123</v>
      </c>
      <c r="B23" s="95" t="s">
        <v>124</v>
      </c>
      <c r="C23" s="7">
        <v>77</v>
      </c>
      <c r="D23" s="109">
        <v>77</v>
      </c>
      <c r="E23" s="113">
        <v>0.6052632</v>
      </c>
      <c r="F23" s="113">
        <v>0.23376620000000001</v>
      </c>
      <c r="G23" s="113">
        <v>0.3552631</v>
      </c>
      <c r="H23" s="109" t="s">
        <v>677</v>
      </c>
      <c r="I23" s="109" t="s">
        <v>227</v>
      </c>
      <c r="J23" s="61">
        <v>1.4810449999999999</v>
      </c>
      <c r="K23" t="str">
        <f t="shared" si="0"/>
        <v>RXN</v>
      </c>
      <c r="L23" s="11">
        <v>20</v>
      </c>
      <c r="M23">
        <v>12</v>
      </c>
      <c r="N23">
        <v>35</v>
      </c>
      <c r="O23" s="11">
        <f t="shared" si="1"/>
        <v>8</v>
      </c>
      <c r="P23" s="11">
        <f t="shared" si="2"/>
        <v>15</v>
      </c>
      <c r="Q23">
        <v>14</v>
      </c>
      <c r="R23" s="11">
        <v>36</v>
      </c>
      <c r="S23" s="10">
        <v>24.877289999999999</v>
      </c>
      <c r="T23" s="10">
        <v>47.340859999999999</v>
      </c>
      <c r="U23" s="182">
        <f t="shared" si="3"/>
        <v>11.122710000000001</v>
      </c>
      <c r="V23" s="182">
        <f t="shared" si="4"/>
        <v>11.340859999999999</v>
      </c>
      <c r="W23">
        <v>80</v>
      </c>
      <c r="X23">
        <f>IF('CEA Summary'!$O$4=2, L23, IF('CEA Summary'!$O$4=1,R23))</f>
        <v>20</v>
      </c>
      <c r="Y23" s="46">
        <f>IF('CEA Summary'!$O$4=2, O23, IF('CEA Summary'!$O$4=1, U23))</f>
        <v>8</v>
      </c>
      <c r="Z23" s="46">
        <f>IF('CEA Summary'!$O$4=2, P23, IF('CEA Summary'!$O$4=1, V23))</f>
        <v>15</v>
      </c>
      <c r="AA23" s="46">
        <f>IF('CEA Summary'!$O$4=2, Q23, IF('CEA Summary'!$O$4=1, W23))</f>
        <v>14</v>
      </c>
    </row>
    <row r="24" spans="1:27" x14ac:dyDescent="0.25">
      <c r="A24" s="7" t="s">
        <v>83</v>
      </c>
      <c r="B24" s="95" t="s">
        <v>84</v>
      </c>
      <c r="C24" s="7">
        <v>36</v>
      </c>
      <c r="D24" s="109">
        <v>36</v>
      </c>
      <c r="E24" s="113">
        <v>0.88888889999999998</v>
      </c>
      <c r="F24" s="113">
        <v>0.75</v>
      </c>
      <c r="G24" s="113">
        <v>0.72222220000000004</v>
      </c>
      <c r="H24" s="109" t="s">
        <v>678</v>
      </c>
      <c r="I24" s="109" t="s">
        <v>234</v>
      </c>
      <c r="J24" s="61">
        <v>3.7735240000000001</v>
      </c>
      <c r="K24" t="str">
        <f t="shared" si="0"/>
        <v>RR8</v>
      </c>
      <c r="L24" s="11">
        <v>9</v>
      </c>
      <c r="M24">
        <v>7</v>
      </c>
      <c r="N24">
        <v>15</v>
      </c>
      <c r="O24" s="11">
        <f t="shared" si="1"/>
        <v>2</v>
      </c>
      <c r="P24" s="11">
        <f t="shared" si="2"/>
        <v>6</v>
      </c>
      <c r="Q24">
        <v>14</v>
      </c>
      <c r="R24" s="11">
        <v>72</v>
      </c>
      <c r="S24" s="10">
        <v>54.813890000000001</v>
      </c>
      <c r="T24" s="10">
        <v>85.799750000000003</v>
      </c>
      <c r="U24" s="182">
        <f t="shared" si="3"/>
        <v>17.186109999999999</v>
      </c>
      <c r="V24" s="182">
        <f t="shared" si="4"/>
        <v>13.799750000000003</v>
      </c>
      <c r="W24">
        <v>80</v>
      </c>
      <c r="X24">
        <f>IF('CEA Summary'!$O$4=2, L24, IF('CEA Summary'!$O$4=1,R24))</f>
        <v>9</v>
      </c>
      <c r="Y24" s="46">
        <f>IF('CEA Summary'!$O$4=2, O24, IF('CEA Summary'!$O$4=1, U24))</f>
        <v>2</v>
      </c>
      <c r="Z24" s="46">
        <f>IF('CEA Summary'!$O$4=2, P24, IF('CEA Summary'!$O$4=1, V24))</f>
        <v>6</v>
      </c>
      <c r="AA24" s="46">
        <f>IF('CEA Summary'!$O$4=2, Q24, IF('CEA Summary'!$O$4=1, W24))</f>
        <v>14</v>
      </c>
    </row>
    <row r="25" spans="1:27" x14ac:dyDescent="0.25">
      <c r="A25" s="7" t="s">
        <v>34</v>
      </c>
      <c r="B25" s="95" t="s">
        <v>357</v>
      </c>
      <c r="C25" s="7">
        <v>91</v>
      </c>
      <c r="D25" s="7">
        <v>91</v>
      </c>
      <c r="E25" s="67">
        <v>0.66666669999999995</v>
      </c>
      <c r="F25" s="67">
        <v>0.3186813</v>
      </c>
      <c r="G25" s="67">
        <v>0.40659339999999999</v>
      </c>
      <c r="H25" s="7" t="s">
        <v>549</v>
      </c>
      <c r="I25" s="7" t="s">
        <v>189</v>
      </c>
      <c r="J25" s="61">
        <v>0.98101660000000002</v>
      </c>
      <c r="K25" t="str">
        <f t="shared" si="0"/>
        <v>REM</v>
      </c>
      <c r="L25" s="11">
        <v>16</v>
      </c>
      <c r="M25">
        <v>10</v>
      </c>
      <c r="N25">
        <v>23</v>
      </c>
      <c r="O25" s="11">
        <f t="shared" si="1"/>
        <v>6</v>
      </c>
      <c r="P25" s="11">
        <f t="shared" si="2"/>
        <v>7</v>
      </c>
      <c r="Q25">
        <v>14</v>
      </c>
      <c r="R25" s="11">
        <v>41</v>
      </c>
      <c r="S25" s="10">
        <v>30.478179999999998</v>
      </c>
      <c r="T25" s="10">
        <v>51.465950000000007</v>
      </c>
      <c r="U25" s="182">
        <f t="shared" si="3"/>
        <v>10.521820000000002</v>
      </c>
      <c r="V25" s="182">
        <f t="shared" si="4"/>
        <v>10.465950000000007</v>
      </c>
      <c r="W25">
        <v>80</v>
      </c>
      <c r="X25">
        <f>IF('CEA Summary'!$O$4=2, L25, IF('CEA Summary'!$O$4=1,R25))</f>
        <v>16</v>
      </c>
      <c r="Y25" s="46">
        <f>IF('CEA Summary'!$O$4=2, O25, IF('CEA Summary'!$O$4=1, U25))</f>
        <v>6</v>
      </c>
      <c r="Z25" s="46">
        <f>IF('CEA Summary'!$O$4=2, P25, IF('CEA Summary'!$O$4=1, V25))</f>
        <v>7</v>
      </c>
      <c r="AA25" s="46">
        <f>IF('CEA Summary'!$O$4=2, Q25, IF('CEA Summary'!$O$4=1, W25))</f>
        <v>14</v>
      </c>
    </row>
    <row r="26" spans="1:27" x14ac:dyDescent="0.25">
      <c r="A26" s="7" t="s">
        <v>12</v>
      </c>
      <c r="B26" s="95" t="s">
        <v>358</v>
      </c>
      <c r="C26" s="7">
        <v>26</v>
      </c>
      <c r="D26" s="7">
        <v>25</v>
      </c>
      <c r="E26" s="67">
        <v>0.90909090000000004</v>
      </c>
      <c r="F26" s="67">
        <v>0.75</v>
      </c>
      <c r="G26" s="67">
        <v>0.88</v>
      </c>
      <c r="H26" s="7" t="s">
        <v>263</v>
      </c>
      <c r="I26" s="7" t="s">
        <v>668</v>
      </c>
      <c r="J26" s="61">
        <v>4.1193119999999999</v>
      </c>
      <c r="K26" t="str">
        <f t="shared" si="0"/>
        <v>R1K</v>
      </c>
      <c r="L26" s="11">
        <v>7</v>
      </c>
      <c r="M26">
        <v>5</v>
      </c>
      <c r="N26">
        <v>10</v>
      </c>
      <c r="O26" s="11">
        <f t="shared" si="1"/>
        <v>2</v>
      </c>
      <c r="P26" s="11">
        <f t="shared" si="2"/>
        <v>3</v>
      </c>
      <c r="Q26">
        <v>14</v>
      </c>
      <c r="R26" s="11">
        <v>88</v>
      </c>
      <c r="S26" s="10">
        <v>68.780969999999996</v>
      </c>
      <c r="T26" s="10">
        <v>97.453460000000007</v>
      </c>
      <c r="U26" s="182">
        <f t="shared" si="3"/>
        <v>19.219030000000004</v>
      </c>
      <c r="V26" s="182">
        <f t="shared" si="4"/>
        <v>9.4534600000000069</v>
      </c>
      <c r="W26">
        <v>80</v>
      </c>
      <c r="X26">
        <f>IF('CEA Summary'!$O$4=2, L26, IF('CEA Summary'!$O$4=1,R26))</f>
        <v>7</v>
      </c>
      <c r="Y26" s="46">
        <f>IF('CEA Summary'!$O$4=2, O26, IF('CEA Summary'!$O$4=1, U26))</f>
        <v>2</v>
      </c>
      <c r="Z26" s="46">
        <f>IF('CEA Summary'!$O$4=2, P26, IF('CEA Summary'!$O$4=1, V26))</f>
        <v>3</v>
      </c>
      <c r="AA26" s="46">
        <f>IF('CEA Summary'!$O$4=2, Q26, IF('CEA Summary'!$O$4=1, W26))</f>
        <v>14</v>
      </c>
    </row>
    <row r="27" spans="1:27" x14ac:dyDescent="0.25">
      <c r="A27" s="7" t="s">
        <v>8</v>
      </c>
      <c r="B27" s="95" t="s">
        <v>9</v>
      </c>
      <c r="C27" s="7">
        <v>103</v>
      </c>
      <c r="D27" s="7">
        <v>99</v>
      </c>
      <c r="E27" s="67">
        <v>0.78787879999999999</v>
      </c>
      <c r="F27" s="67">
        <v>0.35922330000000002</v>
      </c>
      <c r="G27" s="67">
        <v>0.51515149999999998</v>
      </c>
      <c r="H27" s="7" t="s">
        <v>644</v>
      </c>
      <c r="I27" s="7" t="s">
        <v>227</v>
      </c>
      <c r="J27" s="61">
        <v>2.6487259999999999</v>
      </c>
      <c r="K27" t="str">
        <f t="shared" si="0"/>
        <v>R0A</v>
      </c>
      <c r="L27" s="11">
        <v>14</v>
      </c>
      <c r="M27">
        <v>10</v>
      </c>
      <c r="N27">
        <v>28</v>
      </c>
      <c r="O27" s="11">
        <f t="shared" si="1"/>
        <v>4</v>
      </c>
      <c r="P27" s="11">
        <f t="shared" si="2"/>
        <v>14</v>
      </c>
      <c r="Q27">
        <v>14</v>
      </c>
      <c r="R27" s="11">
        <v>52</v>
      </c>
      <c r="S27" s="10">
        <v>41.252800000000001</v>
      </c>
      <c r="T27" s="10">
        <v>61.684459999999994</v>
      </c>
      <c r="U27" s="182">
        <f t="shared" si="3"/>
        <v>10.747199999999999</v>
      </c>
      <c r="V27" s="182">
        <f t="shared" si="4"/>
        <v>9.6844599999999943</v>
      </c>
      <c r="W27">
        <v>80</v>
      </c>
      <c r="X27">
        <f>IF('CEA Summary'!$O$4=2, L27, IF('CEA Summary'!$O$4=1,R27))</f>
        <v>14</v>
      </c>
      <c r="Y27" s="46">
        <f>IF('CEA Summary'!$O$4=2, O27, IF('CEA Summary'!$O$4=1, U27))</f>
        <v>4</v>
      </c>
      <c r="Z27" s="46">
        <f>IF('CEA Summary'!$O$4=2, P27, IF('CEA Summary'!$O$4=1, V27))</f>
        <v>14</v>
      </c>
      <c r="AA27" s="46">
        <f>IF('CEA Summary'!$O$4=2, Q27, IF('CEA Summary'!$O$4=1, W27))</f>
        <v>14</v>
      </c>
    </row>
    <row r="28" spans="1:27" x14ac:dyDescent="0.25">
      <c r="A28" s="7" t="s">
        <v>75</v>
      </c>
      <c r="B28" s="95" t="s">
        <v>76</v>
      </c>
      <c r="C28" s="7">
        <v>5</v>
      </c>
      <c r="D28" s="7">
        <v>3</v>
      </c>
      <c r="E28" s="67">
        <v>0.3333333</v>
      </c>
      <c r="F28" s="67">
        <v>0.2</v>
      </c>
      <c r="G28" s="67">
        <v>0</v>
      </c>
      <c r="H28" s="7" t="s">
        <v>276</v>
      </c>
      <c r="I28" s="7" t="s">
        <v>276</v>
      </c>
      <c r="J28" s="61">
        <v>5.2279910000000003</v>
      </c>
      <c r="K28" t="str">
        <f t="shared" si="0"/>
        <v>RPA</v>
      </c>
      <c r="L28" s="11" t="s">
        <v>276</v>
      </c>
      <c r="M28" t="e">
        <v>#VALUE!</v>
      </c>
      <c r="N28" t="e">
        <v>#VALUE!</v>
      </c>
      <c r="O28" s="11" t="e">
        <f t="shared" si="1"/>
        <v>#VALUE!</v>
      </c>
      <c r="P28" s="11" t="e">
        <f t="shared" si="2"/>
        <v>#VALUE!</v>
      </c>
      <c r="Q28">
        <v>14</v>
      </c>
      <c r="R28" s="11" t="e">
        <v>#VALUE!</v>
      </c>
      <c r="S28" s="10" t="e">
        <v>#N/A</v>
      </c>
      <c r="T28" s="10" t="e">
        <v>#N/A</v>
      </c>
      <c r="U28" s="182" t="e">
        <f t="shared" si="3"/>
        <v>#VALUE!</v>
      </c>
      <c r="V28" s="182" t="e">
        <f t="shared" si="4"/>
        <v>#N/A</v>
      </c>
      <c r="W28">
        <v>80</v>
      </c>
      <c r="X28" t="str">
        <f>IF('CEA Summary'!$O$4=2, L28, IF('CEA Summary'!$O$4=1,R28))</f>
        <v>N/A</v>
      </c>
      <c r="Y28" s="46" t="e">
        <f>IF('CEA Summary'!$O$4=2, O28, IF('CEA Summary'!$O$4=1, U28))</f>
        <v>#VALUE!</v>
      </c>
      <c r="Z28" s="46" t="e">
        <f>IF('CEA Summary'!$O$4=2, P28, IF('CEA Summary'!$O$4=1, V28))</f>
        <v>#VALUE!</v>
      </c>
      <c r="AA28" s="46">
        <f>IF('CEA Summary'!$O$4=2, Q28, IF('CEA Summary'!$O$4=1, W28))</f>
        <v>14</v>
      </c>
    </row>
    <row r="29" spans="1:27" x14ac:dyDescent="0.25">
      <c r="A29" s="7" t="s">
        <v>17</v>
      </c>
      <c r="B29" s="95" t="s">
        <v>504</v>
      </c>
      <c r="C29" s="7">
        <v>75</v>
      </c>
      <c r="D29" s="7">
        <v>70</v>
      </c>
      <c r="E29" s="67">
        <v>0.8</v>
      </c>
      <c r="F29" s="67">
        <v>0.38666669999999997</v>
      </c>
      <c r="G29" s="67">
        <v>0.52857140000000002</v>
      </c>
      <c r="H29" s="7" t="s">
        <v>689</v>
      </c>
      <c r="I29" s="7" t="s">
        <v>591</v>
      </c>
      <c r="J29" s="61">
        <v>0.65829000000000004</v>
      </c>
      <c r="K29" t="str">
        <f t="shared" si="0"/>
        <v>RAJ</v>
      </c>
      <c r="L29" s="11">
        <v>14</v>
      </c>
      <c r="M29">
        <v>8</v>
      </c>
      <c r="N29">
        <v>24</v>
      </c>
      <c r="O29" s="11">
        <f t="shared" si="1"/>
        <v>6</v>
      </c>
      <c r="P29" s="11">
        <f t="shared" si="2"/>
        <v>10</v>
      </c>
      <c r="Q29">
        <v>14</v>
      </c>
      <c r="R29" s="11">
        <v>53</v>
      </c>
      <c r="S29" s="10">
        <v>40.552759999999999</v>
      </c>
      <c r="T29" s="10">
        <v>64.912149999999997</v>
      </c>
      <c r="U29" s="182">
        <f t="shared" si="3"/>
        <v>12.447240000000001</v>
      </c>
      <c r="V29" s="182">
        <f t="shared" si="4"/>
        <v>11.912149999999997</v>
      </c>
      <c r="W29">
        <v>80</v>
      </c>
      <c r="X29">
        <f>IF('CEA Summary'!$O$4=2, L29, IF('CEA Summary'!$O$4=1,R29))</f>
        <v>14</v>
      </c>
      <c r="Y29" s="46">
        <f>IF('CEA Summary'!$O$4=2, O29, IF('CEA Summary'!$O$4=1, U29))</f>
        <v>6</v>
      </c>
      <c r="Z29" s="46">
        <f>IF('CEA Summary'!$O$4=2, P29, IF('CEA Summary'!$O$4=1, V29))</f>
        <v>10</v>
      </c>
      <c r="AA29" s="46">
        <f>IF('CEA Summary'!$O$4=2, Q29, IF('CEA Summary'!$O$4=1, W29))</f>
        <v>14</v>
      </c>
    </row>
    <row r="30" spans="1:27" x14ac:dyDescent="0.25">
      <c r="A30" s="7" t="s">
        <v>91</v>
      </c>
      <c r="B30" s="95" t="s">
        <v>92</v>
      </c>
      <c r="C30" s="7">
        <v>95</v>
      </c>
      <c r="D30" s="109">
        <v>88</v>
      </c>
      <c r="E30" s="113">
        <v>0.7241379</v>
      </c>
      <c r="F30" s="113">
        <v>0.30526320000000001</v>
      </c>
      <c r="G30" s="113">
        <v>0.54545460000000001</v>
      </c>
      <c r="H30" s="109" t="s">
        <v>537</v>
      </c>
      <c r="I30" s="109" t="s">
        <v>235</v>
      </c>
      <c r="J30" s="61">
        <v>2.615135</v>
      </c>
      <c r="K30" t="str">
        <f t="shared" si="0"/>
        <v>RTD</v>
      </c>
      <c r="L30" s="11">
        <v>14</v>
      </c>
      <c r="M30">
        <v>10</v>
      </c>
      <c r="N30">
        <v>21</v>
      </c>
      <c r="O30" s="11">
        <f t="shared" si="1"/>
        <v>4</v>
      </c>
      <c r="P30" s="11">
        <f t="shared" si="2"/>
        <v>7</v>
      </c>
      <c r="Q30">
        <v>14</v>
      </c>
      <c r="R30" s="11">
        <v>55</v>
      </c>
      <c r="S30" s="10">
        <v>43.576129999999999</v>
      </c>
      <c r="T30" s="10">
        <v>65.200159999999997</v>
      </c>
      <c r="U30" s="182">
        <f t="shared" si="3"/>
        <v>11.423870000000001</v>
      </c>
      <c r="V30" s="182">
        <f t="shared" si="4"/>
        <v>10.200159999999997</v>
      </c>
      <c r="W30">
        <v>80</v>
      </c>
      <c r="X30">
        <f>IF('CEA Summary'!$O$4=2, L30, IF('CEA Summary'!$O$4=1,R30))</f>
        <v>14</v>
      </c>
      <c r="Y30" s="46">
        <f>IF('CEA Summary'!$O$4=2, O30, IF('CEA Summary'!$O$4=1, U30))</f>
        <v>4</v>
      </c>
      <c r="Z30" s="46">
        <f>IF('CEA Summary'!$O$4=2, P30, IF('CEA Summary'!$O$4=1, V30))</f>
        <v>7</v>
      </c>
      <c r="AA30" s="46">
        <f>IF('CEA Summary'!$O$4=2, Q30, IF('CEA Summary'!$O$4=1, W30))</f>
        <v>14</v>
      </c>
    </row>
    <row r="31" spans="1:27" x14ac:dyDescent="0.25">
      <c r="A31" s="7" t="s">
        <v>131</v>
      </c>
      <c r="B31" s="95" t="s">
        <v>132</v>
      </c>
      <c r="C31" s="7">
        <v>22</v>
      </c>
      <c r="D31" s="109">
        <v>22</v>
      </c>
      <c r="E31" s="113">
        <v>0.55000000000000004</v>
      </c>
      <c r="F31" s="113">
        <v>0.36363640000000003</v>
      </c>
      <c r="G31" s="113">
        <v>0.40909089999999998</v>
      </c>
      <c r="H31" s="109" t="s">
        <v>679</v>
      </c>
      <c r="I31" s="109" t="s">
        <v>241</v>
      </c>
      <c r="J31" s="61">
        <v>5.0290879999999998</v>
      </c>
      <c r="K31" t="str">
        <f t="shared" si="0"/>
        <v>SA999</v>
      </c>
      <c r="L31" s="11">
        <v>17</v>
      </c>
      <c r="M31">
        <v>8</v>
      </c>
      <c r="N31">
        <v>31</v>
      </c>
      <c r="O31" s="11">
        <f t="shared" si="1"/>
        <v>9</v>
      </c>
      <c r="P31" s="11">
        <f t="shared" si="2"/>
        <v>14</v>
      </c>
      <c r="Q31">
        <v>14</v>
      </c>
      <c r="R31" s="11">
        <v>41</v>
      </c>
      <c r="S31" s="10">
        <v>20.709309999999999</v>
      </c>
      <c r="T31" s="10">
        <v>63.645300000000006</v>
      </c>
      <c r="U31" s="182">
        <f t="shared" si="3"/>
        <v>20.290690000000001</v>
      </c>
      <c r="V31" s="182">
        <f t="shared" si="4"/>
        <v>22.645300000000006</v>
      </c>
      <c r="W31">
        <v>80</v>
      </c>
      <c r="X31">
        <f>IF('CEA Summary'!$O$4=2, L31, IF('CEA Summary'!$O$4=1,R31))</f>
        <v>17</v>
      </c>
      <c r="Y31" s="46">
        <f>IF('CEA Summary'!$O$4=2, O31, IF('CEA Summary'!$O$4=1, U31))</f>
        <v>9</v>
      </c>
      <c r="Z31" s="46">
        <f>IF('CEA Summary'!$O$4=2, P31, IF('CEA Summary'!$O$4=1, V31))</f>
        <v>14</v>
      </c>
      <c r="AA31" s="46">
        <f>IF('CEA Summary'!$O$4=2, Q31, IF('CEA Summary'!$O$4=1, W31))</f>
        <v>14</v>
      </c>
    </row>
    <row r="32" spans="1:27" x14ac:dyDescent="0.25">
      <c r="A32" s="7" t="s">
        <v>558</v>
      </c>
      <c r="B32" s="95" t="s">
        <v>559</v>
      </c>
      <c r="C32" s="7">
        <v>7</v>
      </c>
      <c r="D32" s="109">
        <v>7</v>
      </c>
      <c r="E32" s="113" t="s">
        <v>276</v>
      </c>
      <c r="F32" s="113" t="s">
        <v>276</v>
      </c>
      <c r="G32" s="113" t="s">
        <v>276</v>
      </c>
      <c r="H32" s="109" t="s">
        <v>276</v>
      </c>
      <c r="I32" s="109" t="s">
        <v>670</v>
      </c>
      <c r="J32" s="61">
        <v>0</v>
      </c>
      <c r="K32" t="str">
        <f t="shared" si="0"/>
        <v>SY999</v>
      </c>
      <c r="L32" s="11" t="s">
        <v>276</v>
      </c>
      <c r="M32" t="e">
        <v>#VALUE!</v>
      </c>
      <c r="N32" t="e">
        <v>#VALUE!</v>
      </c>
      <c r="O32" s="11" t="e">
        <f t="shared" si="1"/>
        <v>#VALUE!</v>
      </c>
      <c r="P32" s="11" t="e">
        <f t="shared" si="2"/>
        <v>#VALUE!</v>
      </c>
      <c r="Q32">
        <v>14</v>
      </c>
      <c r="R32" s="11">
        <v>14</v>
      </c>
      <c r="S32" s="10" t="e">
        <v>#N/A</v>
      </c>
      <c r="T32" s="10" t="e">
        <v>#N/A</v>
      </c>
      <c r="U32" s="182" t="e">
        <f t="shared" si="3"/>
        <v>#N/A</v>
      </c>
      <c r="V32" s="182" t="e">
        <f t="shared" si="4"/>
        <v>#N/A</v>
      </c>
      <c r="W32">
        <v>80</v>
      </c>
      <c r="X32" t="str">
        <f>IF('CEA Summary'!$O$4=2, L32, IF('CEA Summary'!$O$4=1,R32))</f>
        <v>N/A</v>
      </c>
      <c r="Y32" s="46" t="e">
        <f>IF('CEA Summary'!$O$4=2, O32, IF('CEA Summary'!$O$4=1, U32))</f>
        <v>#VALUE!</v>
      </c>
      <c r="Z32" s="46" t="e">
        <f>IF('CEA Summary'!$O$4=2, P32, IF('CEA Summary'!$O$4=1, V32))</f>
        <v>#VALUE!</v>
      </c>
      <c r="AA32" s="46">
        <f>IF('CEA Summary'!$O$4=2, Q32, IF('CEA Summary'!$O$4=1, W32))</f>
        <v>14</v>
      </c>
    </row>
    <row r="33" spans="1:27" x14ac:dyDescent="0.25">
      <c r="A33" s="7" t="s">
        <v>139</v>
      </c>
      <c r="B33" s="95" t="s">
        <v>140</v>
      </c>
      <c r="C33" s="7">
        <v>14</v>
      </c>
      <c r="D33" s="109">
        <v>13</v>
      </c>
      <c r="E33" s="113">
        <v>0.69230769999999997</v>
      </c>
      <c r="F33" s="113">
        <v>0.5</v>
      </c>
      <c r="G33" s="113">
        <v>0.61538459999999995</v>
      </c>
      <c r="H33" s="109" t="s">
        <v>666</v>
      </c>
      <c r="I33" s="109" t="s">
        <v>188</v>
      </c>
      <c r="J33" s="61">
        <v>1.893383</v>
      </c>
      <c r="K33" t="str">
        <f t="shared" si="0"/>
        <v>SN999</v>
      </c>
      <c r="L33" s="11">
        <v>10</v>
      </c>
      <c r="M33">
        <v>7</v>
      </c>
      <c r="N33">
        <v>22</v>
      </c>
      <c r="O33" s="11">
        <f t="shared" si="1"/>
        <v>3</v>
      </c>
      <c r="P33" s="11">
        <f t="shared" si="2"/>
        <v>12</v>
      </c>
      <c r="Q33">
        <v>14</v>
      </c>
      <c r="R33" s="11">
        <v>62</v>
      </c>
      <c r="S33" s="10">
        <v>31.577759999999998</v>
      </c>
      <c r="T33" s="10">
        <v>86.142060000000001</v>
      </c>
      <c r="U33" s="182">
        <f t="shared" si="3"/>
        <v>30.422240000000002</v>
      </c>
      <c r="V33" s="182">
        <f t="shared" si="4"/>
        <v>24.142060000000001</v>
      </c>
      <c r="W33">
        <v>80</v>
      </c>
      <c r="X33">
        <f>IF('CEA Summary'!$O$4=2, L33, IF('CEA Summary'!$O$4=1,R33))</f>
        <v>10</v>
      </c>
      <c r="Y33" s="46">
        <f>IF('CEA Summary'!$O$4=2, O33, IF('CEA Summary'!$O$4=1, U33))</f>
        <v>3</v>
      </c>
      <c r="Z33" s="46">
        <f>IF('CEA Summary'!$O$4=2, P33, IF('CEA Summary'!$O$4=1, V33))</f>
        <v>12</v>
      </c>
      <c r="AA33" s="46">
        <f>IF('CEA Summary'!$O$4=2, Q33, IF('CEA Summary'!$O$4=1, W33))</f>
        <v>14</v>
      </c>
    </row>
    <row r="34" spans="1:27" x14ac:dyDescent="0.25">
      <c r="A34" s="7" t="s">
        <v>133</v>
      </c>
      <c r="B34" s="95" t="s">
        <v>134</v>
      </c>
      <c r="C34" s="7">
        <v>36</v>
      </c>
      <c r="D34" s="109">
        <v>35</v>
      </c>
      <c r="E34" s="113">
        <v>0.65714289999999997</v>
      </c>
      <c r="F34" s="113">
        <v>0.61111110000000002</v>
      </c>
      <c r="G34" s="113">
        <v>0.54285720000000004</v>
      </c>
      <c r="H34" s="109" t="s">
        <v>664</v>
      </c>
      <c r="I34" s="109" t="s">
        <v>241</v>
      </c>
      <c r="J34" s="61">
        <v>0.69314759999999997</v>
      </c>
      <c r="K34" t="str">
        <f t="shared" si="0"/>
        <v>SG999</v>
      </c>
      <c r="L34" s="11">
        <v>14</v>
      </c>
      <c r="M34">
        <v>7</v>
      </c>
      <c r="N34">
        <v>23</v>
      </c>
      <c r="O34" s="11">
        <f t="shared" si="1"/>
        <v>7</v>
      </c>
      <c r="P34" s="11">
        <f t="shared" si="2"/>
        <v>9</v>
      </c>
      <c r="Q34">
        <v>14</v>
      </c>
      <c r="R34" s="11">
        <v>54</v>
      </c>
      <c r="S34" s="10">
        <v>36.645800000000001</v>
      </c>
      <c r="T34" s="10">
        <v>71.17286</v>
      </c>
      <c r="U34" s="182">
        <f t="shared" si="3"/>
        <v>17.354199999999999</v>
      </c>
      <c r="V34" s="182">
        <f t="shared" si="4"/>
        <v>17.17286</v>
      </c>
      <c r="W34">
        <v>80</v>
      </c>
      <c r="X34">
        <f>IF('CEA Summary'!$O$4=2, L34, IF('CEA Summary'!$O$4=1,R34))</f>
        <v>14</v>
      </c>
      <c r="Y34" s="46">
        <f>IF('CEA Summary'!$O$4=2, O34, IF('CEA Summary'!$O$4=1, U34))</f>
        <v>7</v>
      </c>
      <c r="Z34" s="46">
        <f>IF('CEA Summary'!$O$4=2, P34, IF('CEA Summary'!$O$4=1, V34))</f>
        <v>9</v>
      </c>
      <c r="AA34" s="46">
        <f>IF('CEA Summary'!$O$4=2, Q34, IF('CEA Summary'!$O$4=1, W34))</f>
        <v>14</v>
      </c>
    </row>
    <row r="35" spans="1:27" x14ac:dyDescent="0.25">
      <c r="A35" s="7" t="s">
        <v>135</v>
      </c>
      <c r="B35" s="95" t="s">
        <v>136</v>
      </c>
      <c r="C35" s="7">
        <v>19</v>
      </c>
      <c r="D35" s="109">
        <v>19</v>
      </c>
      <c r="E35" s="113">
        <v>0.5789474</v>
      </c>
      <c r="F35" s="113">
        <v>5.2631600000000001E-2</v>
      </c>
      <c r="G35" s="113">
        <v>0.4210526</v>
      </c>
      <c r="H35" s="109" t="s">
        <v>665</v>
      </c>
      <c r="I35" s="109" t="s">
        <v>173</v>
      </c>
      <c r="J35" s="61">
        <v>0</v>
      </c>
      <c r="K35" t="str">
        <f t="shared" si="0"/>
        <v>SH999</v>
      </c>
      <c r="L35" s="11">
        <v>19</v>
      </c>
      <c r="M35">
        <v>11</v>
      </c>
      <c r="N35">
        <v>23</v>
      </c>
      <c r="O35" s="11">
        <f t="shared" si="1"/>
        <v>8</v>
      </c>
      <c r="P35" s="11">
        <f t="shared" si="2"/>
        <v>4</v>
      </c>
      <c r="Q35">
        <v>14</v>
      </c>
      <c r="R35" s="11">
        <v>42</v>
      </c>
      <c r="S35" s="10">
        <v>20.252140000000001</v>
      </c>
      <c r="T35" s="10">
        <v>66.500219999999999</v>
      </c>
      <c r="U35" s="182">
        <f t="shared" si="3"/>
        <v>21.747859999999999</v>
      </c>
      <c r="V35" s="182">
        <f t="shared" si="4"/>
        <v>24.500219999999999</v>
      </c>
      <c r="W35">
        <v>80</v>
      </c>
      <c r="X35">
        <f>IF('CEA Summary'!$O$4=2, L35, IF('CEA Summary'!$O$4=1,R35))</f>
        <v>19</v>
      </c>
      <c r="Y35" s="46">
        <f>IF('CEA Summary'!$O$4=2, O35, IF('CEA Summary'!$O$4=1, U35))</f>
        <v>8</v>
      </c>
      <c r="Z35" s="46">
        <f>IF('CEA Summary'!$O$4=2, P35, IF('CEA Summary'!$O$4=1, V35))</f>
        <v>4</v>
      </c>
      <c r="AA35" s="46">
        <f>IF('CEA Summary'!$O$4=2, Q35, IF('CEA Summary'!$O$4=1, W35))</f>
        <v>14</v>
      </c>
    </row>
    <row r="36" spans="1:27" x14ac:dyDescent="0.25">
      <c r="A36" s="7" t="s">
        <v>137</v>
      </c>
      <c r="B36" s="95" t="s">
        <v>138</v>
      </c>
      <c r="C36" s="7">
        <v>32</v>
      </c>
      <c r="D36" s="109">
        <v>31</v>
      </c>
      <c r="E36" s="113">
        <v>0.77419349999999998</v>
      </c>
      <c r="F36" s="113">
        <v>0.5625</v>
      </c>
      <c r="G36" s="113">
        <v>0.58064510000000003</v>
      </c>
      <c r="H36" s="109" t="s">
        <v>661</v>
      </c>
      <c r="I36" s="109" t="s">
        <v>188</v>
      </c>
      <c r="J36" s="61">
        <v>1.7063759999999999</v>
      </c>
      <c r="K36" t="str">
        <f t="shared" si="0"/>
        <v>SL999</v>
      </c>
      <c r="L36" s="11">
        <v>12</v>
      </c>
      <c r="M36">
        <v>9</v>
      </c>
      <c r="N36">
        <v>18</v>
      </c>
      <c r="O36" s="11">
        <f t="shared" si="1"/>
        <v>3</v>
      </c>
      <c r="P36" s="11">
        <f t="shared" si="2"/>
        <v>6</v>
      </c>
      <c r="Q36">
        <v>14</v>
      </c>
      <c r="R36" s="11">
        <v>58</v>
      </c>
      <c r="S36" s="10">
        <v>39.075919999999996</v>
      </c>
      <c r="T36" s="10">
        <v>75.45241</v>
      </c>
      <c r="U36" s="182">
        <f t="shared" si="3"/>
        <v>18.924080000000004</v>
      </c>
      <c r="V36" s="182">
        <f t="shared" si="4"/>
        <v>17.45241</v>
      </c>
      <c r="W36">
        <v>80</v>
      </c>
      <c r="X36">
        <f>IF('CEA Summary'!$O$4=2, L36, IF('CEA Summary'!$O$4=1,R36))</f>
        <v>12</v>
      </c>
      <c r="Y36" s="46">
        <f>IF('CEA Summary'!$O$4=2, O36, IF('CEA Summary'!$O$4=1, U36))</f>
        <v>3</v>
      </c>
      <c r="Z36" s="46">
        <f>IF('CEA Summary'!$O$4=2, P36, IF('CEA Summary'!$O$4=1, V36))</f>
        <v>6</v>
      </c>
      <c r="AA36" s="46">
        <f>IF('CEA Summary'!$O$4=2, Q36, IF('CEA Summary'!$O$4=1, W36))</f>
        <v>14</v>
      </c>
    </row>
    <row r="37" spans="1:27" x14ac:dyDescent="0.25">
      <c r="A37" s="7" t="s">
        <v>141</v>
      </c>
      <c r="B37" s="95" t="s">
        <v>142</v>
      </c>
      <c r="C37" s="7">
        <v>37</v>
      </c>
      <c r="D37" s="109">
        <v>37</v>
      </c>
      <c r="E37" s="113">
        <v>0.77777779999999996</v>
      </c>
      <c r="F37" s="113">
        <v>0.75675680000000001</v>
      </c>
      <c r="G37" s="113">
        <v>0.70270270000000001</v>
      </c>
      <c r="H37" s="109" t="s">
        <v>275</v>
      </c>
      <c r="I37" s="109" t="s">
        <v>241</v>
      </c>
      <c r="J37" s="61">
        <v>1.7711950000000001</v>
      </c>
      <c r="K37" t="str">
        <f t="shared" si="0"/>
        <v>SS999</v>
      </c>
      <c r="L37" s="11">
        <v>10</v>
      </c>
      <c r="M37">
        <v>7</v>
      </c>
      <c r="N37">
        <v>15</v>
      </c>
      <c r="O37" s="11">
        <f t="shared" si="1"/>
        <v>3</v>
      </c>
      <c r="P37" s="11">
        <f t="shared" si="2"/>
        <v>5</v>
      </c>
      <c r="Q37">
        <v>14</v>
      </c>
      <c r="R37" s="11">
        <v>70</v>
      </c>
      <c r="S37" s="10">
        <v>53.020049999999998</v>
      </c>
      <c r="T37" s="10">
        <v>84.127459999999999</v>
      </c>
      <c r="U37" s="182">
        <f t="shared" si="3"/>
        <v>16.979950000000002</v>
      </c>
      <c r="V37" s="182">
        <f t="shared" si="4"/>
        <v>14.127459999999999</v>
      </c>
      <c r="W37">
        <v>80</v>
      </c>
      <c r="X37">
        <f>IF('CEA Summary'!$O$4=2, L37, IF('CEA Summary'!$O$4=1,R37))</f>
        <v>10</v>
      </c>
      <c r="Y37" s="46">
        <f>IF('CEA Summary'!$O$4=2, O37, IF('CEA Summary'!$O$4=1, U37))</f>
        <v>3</v>
      </c>
      <c r="Z37" s="46">
        <f>IF('CEA Summary'!$O$4=2, P37, IF('CEA Summary'!$O$4=1, V37))</f>
        <v>5</v>
      </c>
      <c r="AA37" s="46">
        <f>IF('CEA Summary'!$O$4=2, Q37, IF('CEA Summary'!$O$4=1, W37))</f>
        <v>14</v>
      </c>
    </row>
    <row r="38" spans="1:27" x14ac:dyDescent="0.25">
      <c r="A38" s="7" t="s">
        <v>143</v>
      </c>
      <c r="B38" s="95" t="s">
        <v>144</v>
      </c>
      <c r="C38" s="7">
        <v>20</v>
      </c>
      <c r="D38" s="109">
        <v>20</v>
      </c>
      <c r="E38" s="113">
        <v>0.75</v>
      </c>
      <c r="F38" s="113">
        <v>0.2</v>
      </c>
      <c r="G38" s="113">
        <v>0.5</v>
      </c>
      <c r="H38" s="109" t="s">
        <v>680</v>
      </c>
      <c r="I38" s="109" t="s">
        <v>236</v>
      </c>
      <c r="J38" s="61">
        <v>3.050808</v>
      </c>
      <c r="K38" t="str">
        <f t="shared" si="0"/>
        <v>ST999</v>
      </c>
      <c r="L38" s="11">
        <v>15</v>
      </c>
      <c r="M38">
        <v>12</v>
      </c>
      <c r="N38">
        <v>19</v>
      </c>
      <c r="O38" s="11">
        <f t="shared" si="1"/>
        <v>3</v>
      </c>
      <c r="P38" s="11">
        <f t="shared" si="2"/>
        <v>4</v>
      </c>
      <c r="Q38">
        <v>14</v>
      </c>
      <c r="R38" s="11">
        <v>50</v>
      </c>
      <c r="S38" s="10">
        <v>27.195780000000003</v>
      </c>
      <c r="T38" s="10">
        <v>72.804209999999998</v>
      </c>
      <c r="U38" s="182">
        <f t="shared" si="3"/>
        <v>22.804219999999997</v>
      </c>
      <c r="V38" s="182">
        <f t="shared" si="4"/>
        <v>22.804209999999998</v>
      </c>
      <c r="W38">
        <v>80</v>
      </c>
      <c r="X38">
        <f>IF('CEA Summary'!$O$4=2, L38, IF('CEA Summary'!$O$4=1,R38))</f>
        <v>15</v>
      </c>
      <c r="Y38" s="46">
        <f>IF('CEA Summary'!$O$4=2, O38, IF('CEA Summary'!$O$4=1, U38))</f>
        <v>3</v>
      </c>
      <c r="Z38" s="46">
        <f>IF('CEA Summary'!$O$4=2, P38, IF('CEA Summary'!$O$4=1, V38))</f>
        <v>4</v>
      </c>
      <c r="AA38" s="46">
        <f>IF('CEA Summary'!$O$4=2, Q38, IF('CEA Summary'!$O$4=1, W38))</f>
        <v>14</v>
      </c>
    </row>
    <row r="39" spans="1:27" x14ac:dyDescent="0.25">
      <c r="A39" s="7" t="s">
        <v>65</v>
      </c>
      <c r="B39" s="95" t="s">
        <v>66</v>
      </c>
      <c r="C39" s="7">
        <v>53</v>
      </c>
      <c r="D39" s="7">
        <v>50</v>
      </c>
      <c r="E39" s="67">
        <v>0.81632660000000001</v>
      </c>
      <c r="F39" s="67">
        <v>0.60377360000000002</v>
      </c>
      <c r="G39" s="67">
        <v>0.8</v>
      </c>
      <c r="H39" s="7" t="s">
        <v>654</v>
      </c>
      <c r="I39" s="7" t="s">
        <v>236</v>
      </c>
      <c r="J39" s="61">
        <v>4.7986709999999997</v>
      </c>
      <c r="K39" t="str">
        <f t="shared" si="0"/>
        <v>RM1</v>
      </c>
      <c r="L39" s="11">
        <v>10</v>
      </c>
      <c r="M39">
        <v>8</v>
      </c>
      <c r="N39">
        <v>14</v>
      </c>
      <c r="O39" s="11">
        <f t="shared" si="1"/>
        <v>2</v>
      </c>
      <c r="P39" s="11">
        <f t="shared" si="2"/>
        <v>4</v>
      </c>
      <c r="Q39">
        <v>14</v>
      </c>
      <c r="R39" s="11">
        <v>80</v>
      </c>
      <c r="S39" s="10">
        <v>66.281689999999998</v>
      </c>
      <c r="T39" s="10">
        <v>89.96978</v>
      </c>
      <c r="U39" s="182">
        <f t="shared" si="3"/>
        <v>13.718310000000002</v>
      </c>
      <c r="V39" s="182">
        <f t="shared" si="4"/>
        <v>9.9697800000000001</v>
      </c>
      <c r="W39">
        <v>80</v>
      </c>
      <c r="X39">
        <f>IF('CEA Summary'!$O$4=2, L39, IF('CEA Summary'!$O$4=1,R39))</f>
        <v>10</v>
      </c>
      <c r="Y39" s="46">
        <f>IF('CEA Summary'!$O$4=2, O39, IF('CEA Summary'!$O$4=1, U39))</f>
        <v>2</v>
      </c>
      <c r="Z39" s="46">
        <f>IF('CEA Summary'!$O$4=2, P39, IF('CEA Summary'!$O$4=1, V39))</f>
        <v>4</v>
      </c>
      <c r="AA39" s="46">
        <f>IF('CEA Summary'!$O$4=2, Q39, IF('CEA Summary'!$O$4=1, W39))</f>
        <v>14</v>
      </c>
    </row>
    <row r="40" spans="1:27" x14ac:dyDescent="0.25">
      <c r="A40" s="7" t="s">
        <v>100</v>
      </c>
      <c r="B40" s="95" t="s">
        <v>101</v>
      </c>
      <c r="C40" s="7">
        <v>86</v>
      </c>
      <c r="D40" s="109">
        <v>86</v>
      </c>
      <c r="E40" s="113">
        <v>0.82142859999999995</v>
      </c>
      <c r="F40" s="113">
        <v>0.68235299999999999</v>
      </c>
      <c r="G40" s="113">
        <v>0.81176470000000001</v>
      </c>
      <c r="H40" s="109" t="s">
        <v>331</v>
      </c>
      <c r="I40" s="109" t="s">
        <v>189</v>
      </c>
      <c r="J40" s="61">
        <v>3.1009150000000001</v>
      </c>
      <c r="K40" t="str">
        <f t="shared" si="0"/>
        <v>RVJ</v>
      </c>
      <c r="L40" s="11">
        <v>10</v>
      </c>
      <c r="M40">
        <v>7</v>
      </c>
      <c r="N40">
        <v>14</v>
      </c>
      <c r="O40" s="11">
        <f t="shared" si="1"/>
        <v>3</v>
      </c>
      <c r="P40" s="11">
        <f t="shared" si="2"/>
        <v>4</v>
      </c>
      <c r="Q40">
        <v>14</v>
      </c>
      <c r="R40" s="11">
        <v>81</v>
      </c>
      <c r="S40" s="10">
        <v>71.23939</v>
      </c>
      <c r="T40" s="10">
        <v>88.840490000000003</v>
      </c>
      <c r="U40" s="182">
        <f t="shared" si="3"/>
        <v>9.7606099999999998</v>
      </c>
      <c r="V40" s="182">
        <f t="shared" si="4"/>
        <v>7.8404900000000026</v>
      </c>
      <c r="W40">
        <v>80</v>
      </c>
      <c r="X40">
        <f>IF('CEA Summary'!$O$4=2, L40, IF('CEA Summary'!$O$4=1,R40))</f>
        <v>10</v>
      </c>
      <c r="Y40" s="46">
        <f>IF('CEA Summary'!$O$4=2, O40, IF('CEA Summary'!$O$4=1, U40))</f>
        <v>3</v>
      </c>
      <c r="Z40" s="46">
        <f>IF('CEA Summary'!$O$4=2, P40, IF('CEA Summary'!$O$4=1, V40))</f>
        <v>4</v>
      </c>
      <c r="AA40" s="46">
        <f>IF('CEA Summary'!$O$4=2, Q40, IF('CEA Summary'!$O$4=1, W40))</f>
        <v>14</v>
      </c>
    </row>
    <row r="41" spans="1:27" x14ac:dyDescent="0.25">
      <c r="A41" s="7" t="s">
        <v>626</v>
      </c>
      <c r="B41" t="s">
        <v>518</v>
      </c>
      <c r="C41" s="7">
        <v>36</v>
      </c>
      <c r="D41" s="7">
        <v>36</v>
      </c>
      <c r="E41" s="67">
        <v>0.77777779999999996</v>
      </c>
      <c r="F41" s="67">
        <v>0.63888889999999998</v>
      </c>
      <c r="G41" s="67">
        <v>0.77777779999999996</v>
      </c>
      <c r="H41" s="7" t="s">
        <v>654</v>
      </c>
      <c r="I41" s="7" t="s">
        <v>189</v>
      </c>
      <c r="J41" s="61">
        <v>0.7603664</v>
      </c>
      <c r="K41" t="str">
        <f t="shared" si="0"/>
        <v>RNN</v>
      </c>
      <c r="L41" s="11">
        <v>10</v>
      </c>
      <c r="M41">
        <v>8</v>
      </c>
      <c r="N41">
        <v>14</v>
      </c>
      <c r="O41" s="11">
        <f t="shared" si="1"/>
        <v>2</v>
      </c>
      <c r="P41" s="11">
        <f t="shared" si="2"/>
        <v>4</v>
      </c>
      <c r="Q41">
        <v>14</v>
      </c>
      <c r="R41" s="11">
        <v>78</v>
      </c>
      <c r="S41" s="10">
        <v>60.848239999999997</v>
      </c>
      <c r="T41" s="10">
        <v>89.884950000000003</v>
      </c>
      <c r="U41" s="182">
        <f t="shared" si="3"/>
        <v>17.151760000000003</v>
      </c>
      <c r="V41" s="182">
        <f t="shared" si="4"/>
        <v>11.884950000000003</v>
      </c>
      <c r="W41">
        <v>80</v>
      </c>
      <c r="X41">
        <f>IF('CEA Summary'!$O$4=2, L41, IF('CEA Summary'!$O$4=1,R41))</f>
        <v>10</v>
      </c>
      <c r="Y41" s="46">
        <f>IF('CEA Summary'!$O$4=2, O41, IF('CEA Summary'!$O$4=1, U41))</f>
        <v>2</v>
      </c>
      <c r="Z41" s="46">
        <f>IF('CEA Summary'!$O$4=2, P41, IF('CEA Summary'!$O$4=1, V41))</f>
        <v>4</v>
      </c>
      <c r="AA41" s="46">
        <f>IF('CEA Summary'!$O$4=2, Q41, IF('CEA Summary'!$O$4=1, W41))</f>
        <v>14</v>
      </c>
    </row>
    <row r="42" spans="1:27" x14ac:dyDescent="0.25">
      <c r="A42" s="7" t="s">
        <v>72</v>
      </c>
      <c r="B42" s="95" t="s">
        <v>73</v>
      </c>
      <c r="C42" s="7">
        <v>26</v>
      </c>
      <c r="D42" s="7">
        <v>24</v>
      </c>
      <c r="E42" s="67">
        <v>0.5</v>
      </c>
      <c r="F42" s="67">
        <v>0.53846159999999998</v>
      </c>
      <c r="G42" s="67">
        <v>0.4166667</v>
      </c>
      <c r="H42" s="7" t="s">
        <v>681</v>
      </c>
      <c r="I42" s="7" t="s">
        <v>235</v>
      </c>
      <c r="J42" s="61">
        <v>2.379556</v>
      </c>
      <c r="K42" t="str">
        <f t="shared" si="0"/>
        <v>RNS</v>
      </c>
      <c r="L42" s="11">
        <v>22</v>
      </c>
      <c r="M42">
        <v>10</v>
      </c>
      <c r="N42">
        <v>48</v>
      </c>
      <c r="O42" s="11">
        <f t="shared" si="1"/>
        <v>12</v>
      </c>
      <c r="P42" s="11">
        <f t="shared" si="2"/>
        <v>26</v>
      </c>
      <c r="Q42">
        <v>14</v>
      </c>
      <c r="R42" s="11">
        <v>42</v>
      </c>
      <c r="S42" s="10">
        <v>22.109690000000001</v>
      </c>
      <c r="T42" s="10">
        <v>63.356939999999994</v>
      </c>
      <c r="U42" s="182">
        <f t="shared" si="3"/>
        <v>19.890309999999999</v>
      </c>
      <c r="V42" s="182">
        <f t="shared" si="4"/>
        <v>21.356939999999994</v>
      </c>
      <c r="W42">
        <v>80</v>
      </c>
      <c r="X42">
        <f>IF('CEA Summary'!$O$4=2, L42, IF('CEA Summary'!$O$4=1,R42))</f>
        <v>22</v>
      </c>
      <c r="Y42" s="46">
        <f>IF('CEA Summary'!$O$4=2, O42, IF('CEA Summary'!$O$4=1, U42))</f>
        <v>12</v>
      </c>
      <c r="Z42" s="46">
        <f>IF('CEA Summary'!$O$4=2, P42, IF('CEA Summary'!$O$4=1, V42))</f>
        <v>26</v>
      </c>
      <c r="AA42" s="46">
        <f>IF('CEA Summary'!$O$4=2, Q42, IF('CEA Summary'!$O$4=1, W42))</f>
        <v>14</v>
      </c>
    </row>
    <row r="43" spans="1:27" x14ac:dyDescent="0.25">
      <c r="A43" s="7" t="s">
        <v>622</v>
      </c>
      <c r="B43" s="95" t="s">
        <v>623</v>
      </c>
      <c r="C43" s="7">
        <v>87</v>
      </c>
      <c r="D43" s="7">
        <v>66</v>
      </c>
      <c r="E43" s="67">
        <v>0.66666669999999995</v>
      </c>
      <c r="F43" s="67">
        <v>0.65517239999999999</v>
      </c>
      <c r="G43" s="67">
        <v>0.68181820000000004</v>
      </c>
      <c r="H43" s="7" t="s">
        <v>208</v>
      </c>
      <c r="I43" s="7" t="s">
        <v>469</v>
      </c>
      <c r="J43" s="61">
        <v>2.066576</v>
      </c>
      <c r="K43" t="str">
        <f t="shared" si="0"/>
        <v>RM3</v>
      </c>
      <c r="L43" s="11">
        <v>9</v>
      </c>
      <c r="M43">
        <v>6</v>
      </c>
      <c r="N43">
        <v>18</v>
      </c>
      <c r="O43" s="11">
        <f t="shared" si="1"/>
        <v>3</v>
      </c>
      <c r="P43" s="11">
        <f t="shared" si="2"/>
        <v>9</v>
      </c>
      <c r="Q43">
        <v>14</v>
      </c>
      <c r="R43" s="11">
        <v>68</v>
      </c>
      <c r="S43" s="10">
        <v>55.560790000000004</v>
      </c>
      <c r="T43" s="10">
        <v>79.110159999999993</v>
      </c>
      <c r="U43" s="182">
        <f t="shared" si="3"/>
        <v>12.439209999999996</v>
      </c>
      <c r="V43" s="182">
        <f t="shared" si="4"/>
        <v>11.110159999999993</v>
      </c>
      <c r="W43">
        <v>80</v>
      </c>
      <c r="X43">
        <f>IF('CEA Summary'!$O$4=2, L43, IF('CEA Summary'!$O$4=1,R43))</f>
        <v>9</v>
      </c>
      <c r="Y43" s="46">
        <f>IF('CEA Summary'!$O$4=2, O43, IF('CEA Summary'!$O$4=1, U43))</f>
        <v>3</v>
      </c>
      <c r="Z43" s="46">
        <f>IF('CEA Summary'!$O$4=2, P43, IF('CEA Summary'!$O$4=1, V43))</f>
        <v>9</v>
      </c>
      <c r="AA43" s="46">
        <f>IF('CEA Summary'!$O$4=2, Q43, IF('CEA Summary'!$O$4=1, W43))</f>
        <v>14</v>
      </c>
    </row>
    <row r="44" spans="1:27" x14ac:dyDescent="0.25">
      <c r="A44" s="7" t="s">
        <v>119</v>
      </c>
      <c r="B44" s="95" t="s">
        <v>120</v>
      </c>
      <c r="C44" s="7">
        <v>64</v>
      </c>
      <c r="D44" s="109">
        <v>62</v>
      </c>
      <c r="E44" s="113">
        <v>0.76666670000000003</v>
      </c>
      <c r="F44" s="113">
        <v>0.51612899999999995</v>
      </c>
      <c r="G44" s="113">
        <v>0.69354839999999995</v>
      </c>
      <c r="H44" s="109" t="s">
        <v>661</v>
      </c>
      <c r="I44" s="109" t="s">
        <v>235</v>
      </c>
      <c r="J44" s="61">
        <v>1.427495</v>
      </c>
      <c r="K44" t="str">
        <f t="shared" si="0"/>
        <v>RX1</v>
      </c>
      <c r="L44" s="11">
        <v>12</v>
      </c>
      <c r="M44">
        <v>9</v>
      </c>
      <c r="N44">
        <v>18</v>
      </c>
      <c r="O44" s="11">
        <f t="shared" si="1"/>
        <v>3</v>
      </c>
      <c r="P44" s="11">
        <f t="shared" si="2"/>
        <v>6</v>
      </c>
      <c r="Q44">
        <v>14</v>
      </c>
      <c r="R44" s="11">
        <v>69</v>
      </c>
      <c r="S44" s="10">
        <v>56.349740000000004</v>
      </c>
      <c r="T44" s="10">
        <v>80.438600000000008</v>
      </c>
      <c r="U44" s="182">
        <f t="shared" si="3"/>
        <v>12.650259999999996</v>
      </c>
      <c r="V44" s="182">
        <f t="shared" si="4"/>
        <v>11.438600000000008</v>
      </c>
      <c r="W44">
        <v>80</v>
      </c>
      <c r="X44">
        <f>IF('CEA Summary'!$O$4=2, L44, IF('CEA Summary'!$O$4=1,R44))</f>
        <v>12</v>
      </c>
      <c r="Y44" s="46">
        <f>IF('CEA Summary'!$O$4=2, O44, IF('CEA Summary'!$O$4=1, U44))</f>
        <v>3</v>
      </c>
      <c r="Z44" s="46">
        <f>IF('CEA Summary'!$O$4=2, P44, IF('CEA Summary'!$O$4=1, V44))</f>
        <v>6</v>
      </c>
      <c r="AA44" s="46">
        <f>IF('CEA Summary'!$O$4=2, Q44, IF('CEA Summary'!$O$4=1, W44))</f>
        <v>14</v>
      </c>
    </row>
    <row r="45" spans="1:27" x14ac:dyDescent="0.25">
      <c r="A45" s="7" t="s">
        <v>96</v>
      </c>
      <c r="B45" s="95" t="s">
        <v>360</v>
      </c>
      <c r="C45" s="7">
        <v>76</v>
      </c>
      <c r="D45" s="109">
        <v>68</v>
      </c>
      <c r="E45" s="113">
        <v>0.8208955</v>
      </c>
      <c r="F45" s="113">
        <v>0.4078947</v>
      </c>
      <c r="G45" s="113">
        <v>0.6176471</v>
      </c>
      <c r="H45" s="109" t="s">
        <v>657</v>
      </c>
      <c r="I45" s="109" t="s">
        <v>237</v>
      </c>
      <c r="J45" s="61">
        <v>2.6592030000000002</v>
      </c>
      <c r="K45" t="str">
        <f t="shared" si="0"/>
        <v>RTH</v>
      </c>
      <c r="L45" s="11">
        <v>13</v>
      </c>
      <c r="M45">
        <v>10</v>
      </c>
      <c r="N45">
        <v>21</v>
      </c>
      <c r="O45" s="11">
        <f t="shared" si="1"/>
        <v>3</v>
      </c>
      <c r="P45" s="11">
        <f t="shared" si="2"/>
        <v>8</v>
      </c>
      <c r="Q45">
        <v>14</v>
      </c>
      <c r="R45" s="11">
        <v>62</v>
      </c>
      <c r="S45" s="10">
        <v>49.176909999999999</v>
      </c>
      <c r="T45" s="10">
        <v>73.293109999999999</v>
      </c>
      <c r="U45" s="182">
        <f t="shared" si="3"/>
        <v>12.823090000000001</v>
      </c>
      <c r="V45" s="182">
        <f t="shared" si="4"/>
        <v>11.293109999999999</v>
      </c>
      <c r="W45">
        <v>80</v>
      </c>
      <c r="X45">
        <f>IF('CEA Summary'!$O$4=2, L45, IF('CEA Summary'!$O$4=1,R45))</f>
        <v>13</v>
      </c>
      <c r="Y45" s="46">
        <f>IF('CEA Summary'!$O$4=2, O45, IF('CEA Summary'!$O$4=1, U45))</f>
        <v>3</v>
      </c>
      <c r="Z45" s="46">
        <f>IF('CEA Summary'!$O$4=2, P45, IF('CEA Summary'!$O$4=1, V45))</f>
        <v>8</v>
      </c>
      <c r="AA45" s="46">
        <f>IF('CEA Summary'!$O$4=2, Q45, IF('CEA Summary'!$O$4=1, W45))</f>
        <v>14</v>
      </c>
    </row>
    <row r="46" spans="1:27" x14ac:dyDescent="0.25">
      <c r="A46" s="7" t="s">
        <v>89</v>
      </c>
      <c r="B46" s="95" t="s">
        <v>90</v>
      </c>
      <c r="C46" s="7">
        <v>1</v>
      </c>
      <c r="D46" s="109">
        <v>0</v>
      </c>
      <c r="E46" s="109" t="s">
        <v>276</v>
      </c>
      <c r="F46" s="109" t="s">
        <v>276</v>
      </c>
      <c r="G46" s="109" t="s">
        <v>276</v>
      </c>
      <c r="H46" s="109" t="s">
        <v>276</v>
      </c>
      <c r="I46" s="109" t="s">
        <v>276</v>
      </c>
      <c r="J46" s="11" t="e">
        <v>#N/A</v>
      </c>
      <c r="K46" t="str">
        <f t="shared" si="0"/>
        <v>RT3</v>
      </c>
      <c r="L46" s="11" t="s">
        <v>276</v>
      </c>
      <c r="M46" t="e">
        <v>#VALUE!</v>
      </c>
      <c r="N46" t="e">
        <v>#VALUE!</v>
      </c>
      <c r="O46" s="11" t="e">
        <f t="shared" si="1"/>
        <v>#VALUE!</v>
      </c>
      <c r="P46" s="11" t="e">
        <f t="shared" si="2"/>
        <v>#VALUE!</v>
      </c>
      <c r="Q46">
        <v>14</v>
      </c>
      <c r="R46" s="11" t="e">
        <v>#VALUE!</v>
      </c>
      <c r="S46" s="10" t="e">
        <v>#N/A</v>
      </c>
      <c r="T46" s="10" t="e">
        <v>#N/A</v>
      </c>
      <c r="U46" s="182" t="e">
        <f t="shared" si="3"/>
        <v>#VALUE!</v>
      </c>
      <c r="V46" s="182" t="e">
        <f t="shared" si="4"/>
        <v>#N/A</v>
      </c>
      <c r="W46">
        <v>80</v>
      </c>
      <c r="X46" t="str">
        <f>IF('CEA Summary'!$O$4=2, L46, IF('CEA Summary'!$O$4=1,R46))</f>
        <v>N/A</v>
      </c>
      <c r="Y46" s="46" t="e">
        <f>IF('CEA Summary'!$O$4=2, O46, IF('CEA Summary'!$O$4=1, U46))</f>
        <v>#VALUE!</v>
      </c>
      <c r="Z46" s="46" t="e">
        <f>IF('CEA Summary'!$O$4=2, P46, IF('CEA Summary'!$O$4=1, V46))</f>
        <v>#VALUE!</v>
      </c>
      <c r="AA46" s="46">
        <f>IF('CEA Summary'!$O$4=2, Q46, IF('CEA Summary'!$O$4=1, W46))</f>
        <v>14</v>
      </c>
    </row>
    <row r="47" spans="1:27" x14ac:dyDescent="0.25">
      <c r="A47" s="7" t="s">
        <v>32</v>
      </c>
      <c r="B47" s="95" t="s">
        <v>33</v>
      </c>
      <c r="C47" s="7">
        <v>28</v>
      </c>
      <c r="D47" s="7">
        <v>27</v>
      </c>
      <c r="E47" s="67">
        <v>0.69230769999999997</v>
      </c>
      <c r="F47" s="67">
        <v>0.29629630000000001</v>
      </c>
      <c r="G47" s="67">
        <v>0.37037039999999999</v>
      </c>
      <c r="H47" s="7" t="s">
        <v>649</v>
      </c>
      <c r="I47" s="7" t="s">
        <v>225</v>
      </c>
      <c r="J47" s="61">
        <v>1.13723</v>
      </c>
      <c r="K47" t="str">
        <f t="shared" si="0"/>
        <v>REF</v>
      </c>
      <c r="L47" s="11">
        <v>17</v>
      </c>
      <c r="M47">
        <v>11</v>
      </c>
      <c r="N47">
        <v>36</v>
      </c>
      <c r="O47" s="11">
        <f t="shared" si="1"/>
        <v>6</v>
      </c>
      <c r="P47" s="11">
        <f t="shared" si="2"/>
        <v>19</v>
      </c>
      <c r="Q47">
        <v>14</v>
      </c>
      <c r="R47" s="11">
        <v>37</v>
      </c>
      <c r="S47" s="10">
        <v>19.40072</v>
      </c>
      <c r="T47" s="10">
        <v>57.632039999999996</v>
      </c>
      <c r="U47" s="182">
        <f t="shared" si="3"/>
        <v>17.59928</v>
      </c>
      <c r="V47" s="182">
        <f t="shared" si="4"/>
        <v>20.632039999999996</v>
      </c>
      <c r="W47">
        <v>80</v>
      </c>
      <c r="X47">
        <f>IF('CEA Summary'!$O$4=2, L47, IF('CEA Summary'!$O$4=1,R47))</f>
        <v>17</v>
      </c>
      <c r="Y47" s="46">
        <f>IF('CEA Summary'!$O$4=2, O47, IF('CEA Summary'!$O$4=1, U47))</f>
        <v>6</v>
      </c>
      <c r="Z47" s="46">
        <f>IF('CEA Summary'!$O$4=2, P47, IF('CEA Summary'!$O$4=1, V47))</f>
        <v>19</v>
      </c>
      <c r="AA47" s="46">
        <f>IF('CEA Summary'!$O$4=2, Q47, IF('CEA Summary'!$O$4=1, W47))</f>
        <v>14</v>
      </c>
    </row>
    <row r="48" spans="1:27" x14ac:dyDescent="0.25">
      <c r="A48" s="7" t="s">
        <v>42</v>
      </c>
      <c r="B48" s="95" t="s">
        <v>43</v>
      </c>
      <c r="C48" s="7">
        <v>48</v>
      </c>
      <c r="D48" s="7">
        <v>48</v>
      </c>
      <c r="E48" s="67">
        <v>0.72916669999999995</v>
      </c>
      <c r="F48" s="67">
        <v>0.54166669999999995</v>
      </c>
      <c r="G48" s="67">
        <v>0.60416669999999995</v>
      </c>
      <c r="H48" s="7" t="s">
        <v>683</v>
      </c>
      <c r="I48" s="7" t="s">
        <v>237</v>
      </c>
      <c r="J48" s="61">
        <v>0.82623880000000005</v>
      </c>
      <c r="K48" t="str">
        <f t="shared" si="0"/>
        <v>RH8</v>
      </c>
      <c r="L48" s="11">
        <v>12</v>
      </c>
      <c r="M48">
        <v>8</v>
      </c>
      <c r="N48">
        <v>24</v>
      </c>
      <c r="O48" s="11">
        <f t="shared" si="1"/>
        <v>4</v>
      </c>
      <c r="P48" s="11">
        <f t="shared" si="2"/>
        <v>12</v>
      </c>
      <c r="Q48">
        <v>14</v>
      </c>
      <c r="R48" s="11">
        <v>60</v>
      </c>
      <c r="S48" s="10">
        <v>45.269579999999998</v>
      </c>
      <c r="T48" s="10">
        <v>74.230099999999993</v>
      </c>
      <c r="U48" s="182">
        <f t="shared" si="3"/>
        <v>14.730420000000002</v>
      </c>
      <c r="V48" s="182">
        <f t="shared" si="4"/>
        <v>14.230099999999993</v>
      </c>
      <c r="W48">
        <v>80</v>
      </c>
      <c r="X48">
        <f>IF('CEA Summary'!$O$4=2, L48, IF('CEA Summary'!$O$4=1,R48))</f>
        <v>12</v>
      </c>
      <c r="Y48" s="46">
        <f>IF('CEA Summary'!$O$4=2, O48, IF('CEA Summary'!$O$4=1, U48))</f>
        <v>4</v>
      </c>
      <c r="Z48" s="46">
        <f>IF('CEA Summary'!$O$4=2, P48, IF('CEA Summary'!$O$4=1, V48))</f>
        <v>12</v>
      </c>
      <c r="AA48" s="46">
        <f>IF('CEA Summary'!$O$4=2, Q48, IF('CEA Summary'!$O$4=1, W48))</f>
        <v>14</v>
      </c>
    </row>
    <row r="49" spans="1:27" x14ac:dyDescent="0.25">
      <c r="A49" s="7" t="s">
        <v>19</v>
      </c>
      <c r="B49" s="95" t="s">
        <v>20</v>
      </c>
      <c r="C49" s="7">
        <v>23</v>
      </c>
      <c r="D49" s="7">
        <v>19</v>
      </c>
      <c r="E49" s="67">
        <v>0.5789474</v>
      </c>
      <c r="F49" s="67">
        <v>0.68181820000000004</v>
      </c>
      <c r="G49" s="67">
        <v>0.4210526</v>
      </c>
      <c r="H49" s="7" t="s">
        <v>646</v>
      </c>
      <c r="I49" s="7" t="s">
        <v>669</v>
      </c>
      <c r="J49" s="61">
        <v>1.9586950000000001</v>
      </c>
      <c r="K49" t="str">
        <f t="shared" si="0"/>
        <v>RAL</v>
      </c>
      <c r="L49" s="11">
        <v>18</v>
      </c>
      <c r="M49">
        <v>10</v>
      </c>
      <c r="N49">
        <v>28</v>
      </c>
      <c r="O49" s="11">
        <f t="shared" si="1"/>
        <v>8</v>
      </c>
      <c r="P49" s="11">
        <f t="shared" si="2"/>
        <v>10</v>
      </c>
      <c r="Q49">
        <v>14</v>
      </c>
      <c r="R49" s="11">
        <v>42</v>
      </c>
      <c r="S49" s="10">
        <v>20.252140000000001</v>
      </c>
      <c r="T49" s="10">
        <v>66.500219999999999</v>
      </c>
      <c r="U49" s="182">
        <f t="shared" si="3"/>
        <v>21.747859999999999</v>
      </c>
      <c r="V49" s="182">
        <f t="shared" si="4"/>
        <v>24.500219999999999</v>
      </c>
      <c r="W49">
        <v>80</v>
      </c>
      <c r="X49">
        <f>IF('CEA Summary'!$O$4=2, L49, IF('CEA Summary'!$O$4=1,R49))</f>
        <v>18</v>
      </c>
      <c r="Y49" s="46">
        <f>IF('CEA Summary'!$O$4=2, O49, IF('CEA Summary'!$O$4=1, U49))</f>
        <v>8</v>
      </c>
      <c r="Z49" s="46">
        <f>IF('CEA Summary'!$O$4=2, P49, IF('CEA Summary'!$O$4=1, V49))</f>
        <v>10</v>
      </c>
      <c r="AA49" s="46">
        <f>IF('CEA Summary'!$O$4=2, Q49, IF('CEA Summary'!$O$4=1, W49))</f>
        <v>14</v>
      </c>
    </row>
    <row r="50" spans="1:27" x14ac:dyDescent="0.25">
      <c r="A50" s="7" t="s">
        <v>46</v>
      </c>
      <c r="B50" s="95" t="s">
        <v>47</v>
      </c>
      <c r="C50" s="7">
        <v>52</v>
      </c>
      <c r="D50" s="7">
        <v>51</v>
      </c>
      <c r="E50" s="67">
        <v>0.64705880000000005</v>
      </c>
      <c r="F50" s="67">
        <v>0.21153849999999999</v>
      </c>
      <c r="G50" s="67">
        <v>0.25490200000000002</v>
      </c>
      <c r="H50" s="7" t="s">
        <v>650</v>
      </c>
      <c r="I50" s="7" t="s">
        <v>235</v>
      </c>
      <c r="J50" s="61">
        <v>0</v>
      </c>
      <c r="K50" t="str">
        <f t="shared" si="0"/>
        <v>RHQ</v>
      </c>
      <c r="L50" s="11">
        <v>23</v>
      </c>
      <c r="M50">
        <v>14</v>
      </c>
      <c r="N50">
        <v>40</v>
      </c>
      <c r="O50" s="11">
        <f t="shared" si="1"/>
        <v>9</v>
      </c>
      <c r="P50" s="11">
        <f t="shared" si="2"/>
        <v>17</v>
      </c>
      <c r="Q50">
        <v>14</v>
      </c>
      <c r="R50" s="11">
        <v>25</v>
      </c>
      <c r="S50" s="10">
        <v>14.32626</v>
      </c>
      <c r="T50" s="10">
        <v>39.633420000000001</v>
      </c>
      <c r="U50" s="182">
        <f t="shared" si="3"/>
        <v>10.67374</v>
      </c>
      <c r="V50" s="182">
        <f t="shared" si="4"/>
        <v>14.633420000000001</v>
      </c>
      <c r="W50">
        <v>80</v>
      </c>
      <c r="X50">
        <f>IF('CEA Summary'!$O$4=2, L50, IF('CEA Summary'!$O$4=1,R50))</f>
        <v>23</v>
      </c>
      <c r="Y50" s="46">
        <f>IF('CEA Summary'!$O$4=2, O50, IF('CEA Summary'!$O$4=1, U50))</f>
        <v>9</v>
      </c>
      <c r="Z50" s="46">
        <f>IF('CEA Summary'!$O$4=2, P50, IF('CEA Summary'!$O$4=1, V50))</f>
        <v>17</v>
      </c>
      <c r="AA50" s="46">
        <f>IF('CEA Summary'!$O$4=2, Q50, IF('CEA Summary'!$O$4=1, W50))</f>
        <v>14</v>
      </c>
    </row>
    <row r="51" spans="1:27" x14ac:dyDescent="0.25">
      <c r="A51" s="7" t="s">
        <v>127</v>
      </c>
      <c r="B51" s="95" t="s">
        <v>128</v>
      </c>
      <c r="C51" s="7">
        <v>34</v>
      </c>
      <c r="D51" s="109">
        <v>33</v>
      </c>
      <c r="E51" s="113">
        <v>0.75</v>
      </c>
      <c r="F51" s="113">
        <v>0.3823529</v>
      </c>
      <c r="G51" s="113">
        <v>0.60606059999999995</v>
      </c>
      <c r="H51" s="109" t="s">
        <v>543</v>
      </c>
      <c r="I51" s="109" t="s">
        <v>227</v>
      </c>
      <c r="J51" s="61">
        <v>4.8451500000000003</v>
      </c>
      <c r="K51" t="str">
        <f t="shared" si="0"/>
        <v>RXW</v>
      </c>
      <c r="L51" s="11">
        <v>13</v>
      </c>
      <c r="M51">
        <v>10</v>
      </c>
      <c r="N51">
        <v>19</v>
      </c>
      <c r="O51" s="11">
        <f t="shared" si="1"/>
        <v>3</v>
      </c>
      <c r="P51" s="11">
        <f t="shared" si="2"/>
        <v>6</v>
      </c>
      <c r="Q51">
        <v>14</v>
      </c>
      <c r="R51" s="11">
        <v>61</v>
      </c>
      <c r="S51" s="10">
        <v>42.13937</v>
      </c>
      <c r="T51" s="10">
        <v>77.093370000000007</v>
      </c>
      <c r="U51" s="182">
        <f t="shared" si="3"/>
        <v>18.86063</v>
      </c>
      <c r="V51" s="182">
        <f t="shared" si="4"/>
        <v>16.093370000000007</v>
      </c>
      <c r="W51">
        <v>80</v>
      </c>
      <c r="X51">
        <f>IF('CEA Summary'!$O$4=2, L51, IF('CEA Summary'!$O$4=1,R51))</f>
        <v>13</v>
      </c>
      <c r="Y51" s="46">
        <f>IF('CEA Summary'!$O$4=2, O51, IF('CEA Summary'!$O$4=1, U51))</f>
        <v>3</v>
      </c>
      <c r="Z51" s="46">
        <f>IF('CEA Summary'!$O$4=2, P51, IF('CEA Summary'!$O$4=1, V51))</f>
        <v>6</v>
      </c>
      <c r="AA51" s="46">
        <f>IF('CEA Summary'!$O$4=2, Q51, IF('CEA Summary'!$O$4=1, W51))</f>
        <v>14</v>
      </c>
    </row>
    <row r="52" spans="1:27" x14ac:dyDescent="0.25">
      <c r="A52" s="7" t="s">
        <v>513</v>
      </c>
      <c r="B52" s="95" t="s">
        <v>514</v>
      </c>
      <c r="C52" s="7">
        <v>47</v>
      </c>
      <c r="D52" s="7">
        <v>45</v>
      </c>
      <c r="E52" s="67">
        <v>0.41860459999999999</v>
      </c>
      <c r="F52" s="67">
        <v>0.46808509999999998</v>
      </c>
      <c r="G52" s="67">
        <v>0.36363640000000003</v>
      </c>
      <c r="H52" s="7" t="s">
        <v>684</v>
      </c>
      <c r="I52" s="7" t="s">
        <v>235</v>
      </c>
      <c r="J52" s="61">
        <v>3.1253950000000001</v>
      </c>
      <c r="K52" t="str">
        <f t="shared" si="0"/>
        <v>RH5</v>
      </c>
      <c r="L52" s="11">
        <v>20</v>
      </c>
      <c r="M52">
        <v>10</v>
      </c>
      <c r="N52">
        <v>29</v>
      </c>
      <c r="O52" s="11">
        <f t="shared" si="1"/>
        <v>10</v>
      </c>
      <c r="P52" s="11">
        <f t="shared" si="2"/>
        <v>9</v>
      </c>
      <c r="Q52">
        <v>14</v>
      </c>
      <c r="R52" s="11">
        <v>36</v>
      </c>
      <c r="S52" s="10">
        <v>22.408010000000001</v>
      </c>
      <c r="T52" s="10">
        <v>52.227849999999997</v>
      </c>
      <c r="U52" s="182">
        <f t="shared" si="3"/>
        <v>13.591989999999999</v>
      </c>
      <c r="V52" s="182">
        <f t="shared" si="4"/>
        <v>16.227849999999997</v>
      </c>
      <c r="W52">
        <v>80</v>
      </c>
      <c r="X52">
        <f>IF('CEA Summary'!$O$4=2, L52, IF('CEA Summary'!$O$4=1,R52))</f>
        <v>20</v>
      </c>
      <c r="Y52" s="46">
        <f>IF('CEA Summary'!$O$4=2, O52, IF('CEA Summary'!$O$4=1, U52))</f>
        <v>10</v>
      </c>
      <c r="Z52" s="46">
        <f>IF('CEA Summary'!$O$4=2, P52, IF('CEA Summary'!$O$4=1, V52))</f>
        <v>9</v>
      </c>
      <c r="AA52" s="46">
        <f>IF('CEA Summary'!$O$4=2, Q52, IF('CEA Summary'!$O$4=1, W52))</f>
        <v>14</v>
      </c>
    </row>
    <row r="53" spans="1:27" x14ac:dyDescent="0.25">
      <c r="A53" s="7" t="s">
        <v>98</v>
      </c>
      <c r="B53" s="95" t="s">
        <v>99</v>
      </c>
      <c r="C53" s="7">
        <v>35</v>
      </c>
      <c r="D53" s="109">
        <v>35</v>
      </c>
      <c r="E53" s="113">
        <v>0.77142860000000002</v>
      </c>
      <c r="F53" s="113">
        <v>0.51428569999999996</v>
      </c>
      <c r="G53" s="113">
        <v>0.62857149999999995</v>
      </c>
      <c r="H53" s="109" t="s">
        <v>542</v>
      </c>
      <c r="I53" s="109" t="s">
        <v>227</v>
      </c>
      <c r="J53" s="61">
        <v>0.59422140000000001</v>
      </c>
      <c r="K53" t="str">
        <f t="shared" si="0"/>
        <v>RTR</v>
      </c>
      <c r="L53" s="11">
        <v>12</v>
      </c>
      <c r="M53">
        <v>8</v>
      </c>
      <c r="N53">
        <v>18</v>
      </c>
      <c r="O53" s="11">
        <f t="shared" si="1"/>
        <v>4</v>
      </c>
      <c r="P53" s="11">
        <f t="shared" si="2"/>
        <v>6</v>
      </c>
      <c r="Q53">
        <v>14</v>
      </c>
      <c r="R53" s="11">
        <v>63</v>
      </c>
      <c r="S53" s="10">
        <v>44.923119999999997</v>
      </c>
      <c r="T53" s="10">
        <v>78.526790000000005</v>
      </c>
      <c r="U53" s="182">
        <f t="shared" si="3"/>
        <v>18.076880000000003</v>
      </c>
      <c r="V53" s="182">
        <f t="shared" si="4"/>
        <v>15.526790000000005</v>
      </c>
      <c r="W53">
        <v>80</v>
      </c>
      <c r="X53">
        <f>IF('CEA Summary'!$O$4=2, L53, IF('CEA Summary'!$O$4=1,R53))</f>
        <v>12</v>
      </c>
      <c r="Y53" s="46">
        <f>IF('CEA Summary'!$O$4=2, O53, IF('CEA Summary'!$O$4=1, U53))</f>
        <v>4</v>
      </c>
      <c r="Z53" s="46">
        <f>IF('CEA Summary'!$O$4=2, P53, IF('CEA Summary'!$O$4=1, V53))</f>
        <v>6</v>
      </c>
      <c r="AA53" s="46">
        <f>IF('CEA Summary'!$O$4=2, Q53, IF('CEA Summary'!$O$4=1, W53))</f>
        <v>14</v>
      </c>
    </row>
    <row r="54" spans="1:27" x14ac:dyDescent="0.25">
      <c r="A54" s="7" t="s">
        <v>498</v>
      </c>
      <c r="B54" s="95" t="s">
        <v>499</v>
      </c>
      <c r="C54" s="7">
        <v>51</v>
      </c>
      <c r="D54" s="7">
        <v>50</v>
      </c>
      <c r="E54" s="67">
        <v>0.66</v>
      </c>
      <c r="F54" s="67">
        <v>0.29411769999999998</v>
      </c>
      <c r="G54" s="67">
        <v>0.5</v>
      </c>
      <c r="H54" s="7" t="s">
        <v>544</v>
      </c>
      <c r="I54" s="7" t="s">
        <v>237</v>
      </c>
      <c r="J54" s="61">
        <v>1.3174760000000001</v>
      </c>
      <c r="K54" t="str">
        <f t="shared" si="0"/>
        <v>R0B</v>
      </c>
      <c r="L54" s="11">
        <v>15</v>
      </c>
      <c r="M54">
        <v>12</v>
      </c>
      <c r="N54">
        <v>20</v>
      </c>
      <c r="O54" s="11">
        <f t="shared" si="1"/>
        <v>3</v>
      </c>
      <c r="P54" s="11">
        <f t="shared" si="2"/>
        <v>5</v>
      </c>
      <c r="Q54">
        <v>14</v>
      </c>
      <c r="R54" s="11">
        <v>50</v>
      </c>
      <c r="S54" s="10">
        <v>35.527300000000004</v>
      </c>
      <c r="T54" s="10">
        <v>64.472700000000003</v>
      </c>
      <c r="U54" s="182">
        <f t="shared" si="3"/>
        <v>14.472699999999996</v>
      </c>
      <c r="V54" s="182">
        <f t="shared" si="4"/>
        <v>14.472700000000003</v>
      </c>
      <c r="W54">
        <v>80</v>
      </c>
      <c r="X54">
        <f>IF('CEA Summary'!$O$4=2, L54, IF('CEA Summary'!$O$4=1,R54))</f>
        <v>15</v>
      </c>
      <c r="Y54" s="46">
        <f>IF('CEA Summary'!$O$4=2, O54, IF('CEA Summary'!$O$4=1, U54))</f>
        <v>3</v>
      </c>
      <c r="Z54" s="46">
        <f>IF('CEA Summary'!$O$4=2, P54, IF('CEA Summary'!$O$4=1, V54))</f>
        <v>5</v>
      </c>
      <c r="AA54" s="46">
        <f>IF('CEA Summary'!$O$4=2, Q54, IF('CEA Summary'!$O$4=1, W54))</f>
        <v>14</v>
      </c>
    </row>
    <row r="55" spans="1:27" x14ac:dyDescent="0.25">
      <c r="A55" s="7" t="s">
        <v>52</v>
      </c>
      <c r="B55" s="95" t="s">
        <v>53</v>
      </c>
      <c r="C55" s="7">
        <v>29</v>
      </c>
      <c r="D55" s="7">
        <v>29</v>
      </c>
      <c r="E55" s="67">
        <v>0.86206899999999997</v>
      </c>
      <c r="F55" s="67">
        <v>0.79310349999999996</v>
      </c>
      <c r="G55" s="67">
        <v>0.82758620000000005</v>
      </c>
      <c r="H55" s="7" t="s">
        <v>243</v>
      </c>
      <c r="I55" s="7" t="s">
        <v>245</v>
      </c>
      <c r="J55" s="61">
        <v>1.863977</v>
      </c>
      <c r="K55" t="str">
        <f t="shared" si="0"/>
        <v>RJ7</v>
      </c>
      <c r="L55" s="11">
        <v>8</v>
      </c>
      <c r="M55">
        <v>5</v>
      </c>
      <c r="N55">
        <v>13</v>
      </c>
      <c r="O55" s="11">
        <f t="shared" si="1"/>
        <v>3</v>
      </c>
      <c r="P55" s="11">
        <f t="shared" si="2"/>
        <v>5</v>
      </c>
      <c r="Q55">
        <v>14</v>
      </c>
      <c r="R55" s="11">
        <v>83</v>
      </c>
      <c r="S55" s="10">
        <v>64.225239999999999</v>
      </c>
      <c r="T55" s="10">
        <v>94.154389999999992</v>
      </c>
      <c r="U55" s="182">
        <f t="shared" si="3"/>
        <v>18.774760000000001</v>
      </c>
      <c r="V55" s="182">
        <f t="shared" si="4"/>
        <v>11.154389999999992</v>
      </c>
      <c r="W55">
        <v>80</v>
      </c>
      <c r="X55">
        <f>IF('CEA Summary'!$O$4=2, L55, IF('CEA Summary'!$O$4=1,R55))</f>
        <v>8</v>
      </c>
      <c r="Y55" s="46">
        <f>IF('CEA Summary'!$O$4=2, O55, IF('CEA Summary'!$O$4=1, U55))</f>
        <v>3</v>
      </c>
      <c r="Z55" s="46">
        <f>IF('CEA Summary'!$O$4=2, P55, IF('CEA Summary'!$O$4=1, V55))</f>
        <v>5</v>
      </c>
      <c r="AA55" s="46">
        <f>IF('CEA Summary'!$O$4=2, Q55, IF('CEA Summary'!$O$4=1, W55))</f>
        <v>14</v>
      </c>
    </row>
    <row r="56" spans="1:27" x14ac:dyDescent="0.25">
      <c r="A56" s="7" t="s">
        <v>2</v>
      </c>
      <c r="B56" s="95" t="s">
        <v>168</v>
      </c>
      <c r="C56" s="7">
        <v>54</v>
      </c>
      <c r="D56" s="7">
        <v>54</v>
      </c>
      <c r="E56" s="67">
        <v>0.69230769999999997</v>
      </c>
      <c r="F56" s="67">
        <v>0.73584910000000003</v>
      </c>
      <c r="G56" s="67">
        <v>0.66666669999999995</v>
      </c>
      <c r="H56" s="7" t="s">
        <v>685</v>
      </c>
      <c r="I56" s="7" t="s">
        <v>192</v>
      </c>
      <c r="J56" s="61">
        <v>2.3179560000000001</v>
      </c>
      <c r="K56" t="str">
        <f t="shared" si="0"/>
        <v>7A3</v>
      </c>
      <c r="L56" s="11">
        <v>12</v>
      </c>
      <c r="M56">
        <v>7</v>
      </c>
      <c r="N56">
        <v>17</v>
      </c>
      <c r="O56" s="11">
        <f t="shared" si="1"/>
        <v>5</v>
      </c>
      <c r="P56" s="11">
        <f t="shared" si="2"/>
        <v>5</v>
      </c>
      <c r="Q56">
        <v>14</v>
      </c>
      <c r="R56" s="11">
        <v>67</v>
      </c>
      <c r="S56" s="10">
        <v>52.525500000000001</v>
      </c>
      <c r="T56" s="10">
        <v>78.90800999999999</v>
      </c>
      <c r="U56" s="182">
        <f t="shared" si="3"/>
        <v>14.474499999999999</v>
      </c>
      <c r="V56" s="182">
        <f t="shared" si="4"/>
        <v>11.90800999999999</v>
      </c>
      <c r="W56">
        <v>80</v>
      </c>
      <c r="X56">
        <f>IF('CEA Summary'!$O$4=2, L56, IF('CEA Summary'!$O$4=1,R56))</f>
        <v>12</v>
      </c>
      <c r="Y56" s="46">
        <f>IF('CEA Summary'!$O$4=2, O56, IF('CEA Summary'!$O$4=1, U56))</f>
        <v>5</v>
      </c>
      <c r="Z56" s="46">
        <f>IF('CEA Summary'!$O$4=2, P56, IF('CEA Summary'!$O$4=1, V56))</f>
        <v>5</v>
      </c>
      <c r="AA56" s="46">
        <f>IF('CEA Summary'!$O$4=2, Q56, IF('CEA Summary'!$O$4=1, W56))</f>
        <v>14</v>
      </c>
    </row>
    <row r="57" spans="1:27" x14ac:dyDescent="0.25">
      <c r="A57" s="7" t="s">
        <v>69</v>
      </c>
      <c r="B57" s="95" t="s">
        <v>70</v>
      </c>
      <c r="C57" s="7">
        <v>32</v>
      </c>
      <c r="D57" s="7">
        <v>31</v>
      </c>
      <c r="E57" s="67">
        <v>0.66666669999999995</v>
      </c>
      <c r="F57" s="67">
        <v>0.6875</v>
      </c>
      <c r="G57" s="67">
        <v>0.74193549999999997</v>
      </c>
      <c r="H57" s="7" t="s">
        <v>474</v>
      </c>
      <c r="I57" s="7" t="s">
        <v>245</v>
      </c>
      <c r="J57" s="61">
        <v>2.6948050000000001</v>
      </c>
      <c r="K57" t="str">
        <f t="shared" si="0"/>
        <v>RNA</v>
      </c>
      <c r="L57" s="11">
        <v>9</v>
      </c>
      <c r="M57">
        <v>7</v>
      </c>
      <c r="N57">
        <v>18</v>
      </c>
      <c r="O57" s="11">
        <f t="shared" si="1"/>
        <v>2</v>
      </c>
      <c r="P57" s="11">
        <f t="shared" si="2"/>
        <v>9</v>
      </c>
      <c r="Q57">
        <v>14</v>
      </c>
      <c r="R57" s="11">
        <v>74</v>
      </c>
      <c r="S57" s="10">
        <v>55.386610000000005</v>
      </c>
      <c r="T57" s="10">
        <v>88.143600000000006</v>
      </c>
      <c r="U57" s="182">
        <f t="shared" si="3"/>
        <v>18.613389999999995</v>
      </c>
      <c r="V57" s="182">
        <f t="shared" si="4"/>
        <v>14.143600000000006</v>
      </c>
      <c r="W57">
        <v>80</v>
      </c>
      <c r="X57">
        <f>IF('CEA Summary'!$O$4=2, L57, IF('CEA Summary'!$O$4=1,R57))</f>
        <v>9</v>
      </c>
      <c r="Y57" s="46">
        <f>IF('CEA Summary'!$O$4=2, O57, IF('CEA Summary'!$O$4=1, U57))</f>
        <v>2</v>
      </c>
      <c r="Z57" s="46">
        <f>IF('CEA Summary'!$O$4=2, P57, IF('CEA Summary'!$O$4=1, V57))</f>
        <v>9</v>
      </c>
      <c r="AA57" s="46">
        <f>IF('CEA Summary'!$O$4=2, Q57, IF('CEA Summary'!$O$4=1, W57))</f>
        <v>14</v>
      </c>
    </row>
    <row r="58" spans="1:27" x14ac:dyDescent="0.25">
      <c r="A58" s="7" t="s">
        <v>107</v>
      </c>
      <c r="B58" s="95" t="s">
        <v>108</v>
      </c>
      <c r="C58" s="7">
        <v>51</v>
      </c>
      <c r="D58" s="109">
        <v>51</v>
      </c>
      <c r="E58" s="113">
        <v>0.59183680000000005</v>
      </c>
      <c r="F58" s="113">
        <v>0.4</v>
      </c>
      <c r="G58" s="113">
        <v>0.37254900000000002</v>
      </c>
      <c r="H58" s="109" t="s">
        <v>659</v>
      </c>
      <c r="I58" s="109" t="s">
        <v>241</v>
      </c>
      <c r="J58" s="61">
        <v>2.685619</v>
      </c>
      <c r="K58" t="str">
        <f t="shared" si="0"/>
        <v>RWD</v>
      </c>
      <c r="L58" s="11">
        <v>19</v>
      </c>
      <c r="M58">
        <v>10</v>
      </c>
      <c r="N58">
        <v>38</v>
      </c>
      <c r="O58" s="11">
        <f t="shared" si="1"/>
        <v>9</v>
      </c>
      <c r="P58" s="11">
        <f t="shared" si="2"/>
        <v>19</v>
      </c>
      <c r="Q58">
        <v>14</v>
      </c>
      <c r="R58" s="11">
        <v>37</v>
      </c>
      <c r="S58" s="10">
        <v>24.126239999999999</v>
      </c>
      <c r="T58" s="10">
        <v>51.919780000000003</v>
      </c>
      <c r="U58" s="182">
        <f t="shared" si="3"/>
        <v>12.873760000000001</v>
      </c>
      <c r="V58" s="182">
        <f t="shared" si="4"/>
        <v>14.919780000000003</v>
      </c>
      <c r="W58">
        <v>80</v>
      </c>
      <c r="X58">
        <f>IF('CEA Summary'!$O$4=2, L58, IF('CEA Summary'!$O$4=1,R58))</f>
        <v>19</v>
      </c>
      <c r="Y58" s="46">
        <f>IF('CEA Summary'!$O$4=2, O58, IF('CEA Summary'!$O$4=1, U58))</f>
        <v>9</v>
      </c>
      <c r="Z58" s="46">
        <f>IF('CEA Summary'!$O$4=2, P58, IF('CEA Summary'!$O$4=1, V58))</f>
        <v>19</v>
      </c>
      <c r="AA58" s="46">
        <f>IF('CEA Summary'!$O$4=2, Q58, IF('CEA Summary'!$O$4=1, W58))</f>
        <v>14</v>
      </c>
    </row>
    <row r="59" spans="1:27" x14ac:dyDescent="0.25">
      <c r="A59" s="7" t="s">
        <v>87</v>
      </c>
      <c r="B59" s="95" t="s">
        <v>88</v>
      </c>
      <c r="C59" s="7">
        <v>48</v>
      </c>
      <c r="D59" s="109">
        <v>48</v>
      </c>
      <c r="E59" s="113">
        <v>0.80851070000000003</v>
      </c>
      <c r="F59" s="113">
        <v>0.72916669999999995</v>
      </c>
      <c r="G59" s="113">
        <v>0.77083330000000005</v>
      </c>
      <c r="H59" s="109" t="s">
        <v>515</v>
      </c>
      <c r="I59" s="109" t="s">
        <v>175</v>
      </c>
      <c r="J59" s="61">
        <v>1.6392610000000001</v>
      </c>
      <c r="K59" t="str">
        <f t="shared" si="0"/>
        <v>RRV</v>
      </c>
      <c r="L59" s="11">
        <v>11</v>
      </c>
      <c r="M59">
        <v>8</v>
      </c>
      <c r="N59">
        <v>14</v>
      </c>
      <c r="O59" s="11">
        <f t="shared" si="1"/>
        <v>3</v>
      </c>
      <c r="P59" s="11">
        <f t="shared" si="2"/>
        <v>3</v>
      </c>
      <c r="Q59">
        <v>14</v>
      </c>
      <c r="R59" s="11">
        <v>77</v>
      </c>
      <c r="S59" s="10">
        <v>62.687979999999996</v>
      </c>
      <c r="T59" s="10">
        <v>87.966979999999992</v>
      </c>
      <c r="U59" s="182">
        <f t="shared" si="3"/>
        <v>14.312020000000004</v>
      </c>
      <c r="V59" s="182">
        <f t="shared" si="4"/>
        <v>10.966979999999992</v>
      </c>
      <c r="W59">
        <v>80</v>
      </c>
      <c r="X59">
        <f>IF('CEA Summary'!$O$4=2, L59, IF('CEA Summary'!$O$4=1,R59))</f>
        <v>11</v>
      </c>
      <c r="Y59" s="46">
        <f>IF('CEA Summary'!$O$4=2, O59, IF('CEA Summary'!$O$4=1, U59))</f>
        <v>3</v>
      </c>
      <c r="Z59" s="46">
        <f>IF('CEA Summary'!$O$4=2, P59, IF('CEA Summary'!$O$4=1, V59))</f>
        <v>3</v>
      </c>
      <c r="AA59" s="46">
        <f>IF('CEA Summary'!$O$4=2, Q59, IF('CEA Summary'!$O$4=1, W59))</f>
        <v>14</v>
      </c>
    </row>
    <row r="60" spans="1:27" x14ac:dyDescent="0.25">
      <c r="A60" s="7" t="s">
        <v>54</v>
      </c>
      <c r="B60" s="95" t="s">
        <v>55</v>
      </c>
      <c r="C60" s="7">
        <v>43</v>
      </c>
      <c r="D60" s="7">
        <v>42</v>
      </c>
      <c r="E60" s="67">
        <v>0.78571429999999998</v>
      </c>
      <c r="F60" s="67">
        <v>0.46511629999999998</v>
      </c>
      <c r="G60" s="67">
        <v>0.57142859999999995</v>
      </c>
      <c r="H60" s="7" t="s">
        <v>686</v>
      </c>
      <c r="I60" s="7" t="s">
        <v>220</v>
      </c>
      <c r="J60" s="61">
        <v>3.3486549999999999</v>
      </c>
      <c r="K60" t="str">
        <f t="shared" si="0"/>
        <v>RJE</v>
      </c>
      <c r="L60" s="11">
        <v>14</v>
      </c>
      <c r="M60">
        <v>7</v>
      </c>
      <c r="N60">
        <v>22</v>
      </c>
      <c r="O60" s="11">
        <f t="shared" si="1"/>
        <v>7</v>
      </c>
      <c r="P60" s="11">
        <f t="shared" si="2"/>
        <v>8</v>
      </c>
      <c r="Q60">
        <v>14</v>
      </c>
      <c r="R60" s="11">
        <v>57</v>
      </c>
      <c r="S60" s="10">
        <v>40.961130000000004</v>
      </c>
      <c r="T60" s="10">
        <v>72.279330000000002</v>
      </c>
      <c r="U60" s="182">
        <f t="shared" si="3"/>
        <v>16.038869999999996</v>
      </c>
      <c r="V60" s="182">
        <f t="shared" si="4"/>
        <v>15.279330000000002</v>
      </c>
      <c r="W60">
        <v>80</v>
      </c>
      <c r="X60">
        <f>IF('CEA Summary'!$O$4=2, L60, IF('CEA Summary'!$O$4=1,R60))</f>
        <v>14</v>
      </c>
      <c r="Y60" s="46">
        <f>IF('CEA Summary'!$O$4=2, O60, IF('CEA Summary'!$O$4=1, U60))</f>
        <v>7</v>
      </c>
      <c r="Z60" s="46">
        <f>IF('CEA Summary'!$O$4=2, P60, IF('CEA Summary'!$O$4=1, V60))</f>
        <v>8</v>
      </c>
      <c r="AA60" s="46">
        <f>IF('CEA Summary'!$O$4=2, Q60, IF('CEA Summary'!$O$4=1, W60))</f>
        <v>14</v>
      </c>
    </row>
    <row r="61" spans="1:27" x14ac:dyDescent="0.25">
      <c r="A61" s="7" t="s">
        <v>44</v>
      </c>
      <c r="B61" s="95" t="s">
        <v>45</v>
      </c>
      <c r="C61" s="7">
        <v>67</v>
      </c>
      <c r="D61" s="7">
        <v>67</v>
      </c>
      <c r="E61" s="67">
        <v>0.84848489999999999</v>
      </c>
      <c r="F61" s="67">
        <v>0.26865670000000003</v>
      </c>
      <c r="G61" s="67">
        <v>0.56716420000000001</v>
      </c>
      <c r="H61" s="7" t="s">
        <v>543</v>
      </c>
      <c r="I61" s="7" t="s">
        <v>237</v>
      </c>
      <c r="J61" s="61">
        <v>1.4615340000000001</v>
      </c>
      <c r="K61" t="str">
        <f t="shared" si="0"/>
        <v>RHM</v>
      </c>
      <c r="L61" s="11">
        <v>13</v>
      </c>
      <c r="M61">
        <v>10</v>
      </c>
      <c r="N61">
        <v>19</v>
      </c>
      <c r="O61" s="11">
        <f t="shared" si="1"/>
        <v>3</v>
      </c>
      <c r="P61" s="11">
        <f t="shared" si="2"/>
        <v>6</v>
      </c>
      <c r="Q61">
        <v>14</v>
      </c>
      <c r="R61" s="11">
        <v>57</v>
      </c>
      <c r="S61" s="10">
        <v>44.040980000000005</v>
      </c>
      <c r="T61" s="10">
        <v>68.778729999999996</v>
      </c>
      <c r="U61" s="182">
        <f t="shared" si="3"/>
        <v>12.959019999999995</v>
      </c>
      <c r="V61" s="182">
        <f t="shared" si="4"/>
        <v>11.778729999999996</v>
      </c>
      <c r="W61">
        <v>80</v>
      </c>
      <c r="X61">
        <f>IF('CEA Summary'!$O$4=2, L61, IF('CEA Summary'!$O$4=1,R61))</f>
        <v>13</v>
      </c>
      <c r="Y61" s="46">
        <f>IF('CEA Summary'!$O$4=2, O61, IF('CEA Summary'!$O$4=1, U61))</f>
        <v>3</v>
      </c>
      <c r="Z61" s="46">
        <f>IF('CEA Summary'!$O$4=2, P61, IF('CEA Summary'!$O$4=1, V61))</f>
        <v>6</v>
      </c>
      <c r="AA61" s="46">
        <f>IF('CEA Summary'!$O$4=2, Q61, IF('CEA Summary'!$O$4=1, W61))</f>
        <v>14</v>
      </c>
    </row>
    <row r="62" spans="1:27" x14ac:dyDescent="0.25">
      <c r="A62" s="7" t="s">
        <v>525</v>
      </c>
      <c r="B62" s="95" t="s">
        <v>526</v>
      </c>
      <c r="C62" s="7">
        <v>44</v>
      </c>
      <c r="D62" s="109">
        <v>44</v>
      </c>
      <c r="E62" s="113">
        <v>0.67441859999999998</v>
      </c>
      <c r="F62" s="113">
        <v>0.60465120000000006</v>
      </c>
      <c r="G62" s="113">
        <v>0.68181820000000004</v>
      </c>
      <c r="H62" s="109" t="s">
        <v>538</v>
      </c>
      <c r="I62" s="109" t="s">
        <v>188</v>
      </c>
      <c r="J62" s="61">
        <v>3.186258</v>
      </c>
      <c r="K62" t="str">
        <f t="shared" si="0"/>
        <v>RYR</v>
      </c>
      <c r="L62" s="11">
        <v>11</v>
      </c>
      <c r="M62">
        <v>8</v>
      </c>
      <c r="N62">
        <v>16</v>
      </c>
      <c r="O62" s="11">
        <f t="shared" si="1"/>
        <v>3</v>
      </c>
      <c r="P62" s="11">
        <f t="shared" si="2"/>
        <v>5</v>
      </c>
      <c r="Q62">
        <v>14</v>
      </c>
      <c r="R62" s="11">
        <v>68</v>
      </c>
      <c r="S62" s="10">
        <v>52.421859999999995</v>
      </c>
      <c r="T62" s="10">
        <v>81.390119999999996</v>
      </c>
      <c r="U62" s="182">
        <f t="shared" si="3"/>
        <v>15.578140000000005</v>
      </c>
      <c r="V62" s="182">
        <f t="shared" si="4"/>
        <v>13.390119999999996</v>
      </c>
      <c r="W62">
        <v>80</v>
      </c>
      <c r="X62">
        <f>IF('CEA Summary'!$O$4=2, L62, IF('CEA Summary'!$O$4=1,R62))</f>
        <v>11</v>
      </c>
      <c r="Y62" s="46">
        <f>IF('CEA Summary'!$O$4=2, O62, IF('CEA Summary'!$O$4=1, U62))</f>
        <v>3</v>
      </c>
      <c r="Z62" s="46">
        <f>IF('CEA Summary'!$O$4=2, P62, IF('CEA Summary'!$O$4=1, V62))</f>
        <v>5</v>
      </c>
      <c r="AA62" s="46">
        <f>IF('CEA Summary'!$O$4=2, Q62, IF('CEA Summary'!$O$4=1, W62))</f>
        <v>14</v>
      </c>
    </row>
    <row r="63" spans="1:27" x14ac:dyDescent="0.25">
      <c r="A63" s="7" t="s">
        <v>85</v>
      </c>
      <c r="B63" s="95" t="s">
        <v>86</v>
      </c>
      <c r="C63" s="7">
        <v>32</v>
      </c>
      <c r="D63" s="109">
        <v>29</v>
      </c>
      <c r="E63" s="113">
        <v>0.67857140000000005</v>
      </c>
      <c r="F63" s="113">
        <v>0.59375</v>
      </c>
      <c r="G63" s="113">
        <v>0.64285709999999996</v>
      </c>
      <c r="H63" s="109" t="s">
        <v>655</v>
      </c>
      <c r="I63" s="109" t="s">
        <v>241</v>
      </c>
      <c r="J63" s="61">
        <v>1.684312</v>
      </c>
      <c r="K63" t="str">
        <f t="shared" si="0"/>
        <v>RRK</v>
      </c>
      <c r="L63" s="11">
        <v>10</v>
      </c>
      <c r="M63">
        <v>7</v>
      </c>
      <c r="N63">
        <v>20</v>
      </c>
      <c r="O63" s="11">
        <f t="shared" si="1"/>
        <v>3</v>
      </c>
      <c r="P63" s="11">
        <f t="shared" si="2"/>
        <v>10</v>
      </c>
      <c r="Q63">
        <v>14</v>
      </c>
      <c r="R63" s="11">
        <v>64</v>
      </c>
      <c r="S63" s="10">
        <v>44.06503</v>
      </c>
      <c r="T63" s="10">
        <v>81.35933</v>
      </c>
      <c r="U63" s="182">
        <f t="shared" si="3"/>
        <v>19.93497</v>
      </c>
      <c r="V63" s="182">
        <f t="shared" si="4"/>
        <v>17.35933</v>
      </c>
      <c r="W63">
        <v>80</v>
      </c>
      <c r="X63">
        <f>IF('CEA Summary'!$O$4=2, L63, IF('CEA Summary'!$O$4=1,R63))</f>
        <v>10</v>
      </c>
      <c r="Y63" s="46">
        <f>IF('CEA Summary'!$O$4=2, O63, IF('CEA Summary'!$O$4=1, U63))</f>
        <v>3</v>
      </c>
      <c r="Z63" s="46">
        <f>IF('CEA Summary'!$O$4=2, P63, IF('CEA Summary'!$O$4=1, V63))</f>
        <v>10</v>
      </c>
      <c r="AA63" s="46">
        <f>IF('CEA Summary'!$O$4=2, Q63, IF('CEA Summary'!$O$4=1, W63))</f>
        <v>14</v>
      </c>
    </row>
    <row r="64" spans="1:27" x14ac:dyDescent="0.25">
      <c r="A64" s="7" t="s">
        <v>61</v>
      </c>
      <c r="B64" s="95" t="s">
        <v>62</v>
      </c>
      <c r="C64" s="7">
        <v>31</v>
      </c>
      <c r="D64" s="7">
        <v>31</v>
      </c>
      <c r="E64" s="67">
        <v>0.8387097</v>
      </c>
      <c r="F64" s="67">
        <v>0.38709680000000002</v>
      </c>
      <c r="G64" s="67">
        <v>0.58064510000000003</v>
      </c>
      <c r="H64" s="7" t="s">
        <v>653</v>
      </c>
      <c r="I64" s="7" t="s">
        <v>602</v>
      </c>
      <c r="J64" s="61">
        <v>2.885599</v>
      </c>
      <c r="K64" t="str">
        <f t="shared" si="0"/>
        <v>RKB</v>
      </c>
      <c r="L64" s="11">
        <v>14</v>
      </c>
      <c r="M64">
        <v>9</v>
      </c>
      <c r="N64">
        <v>21</v>
      </c>
      <c r="O64" s="11">
        <f t="shared" ref="O64:O71" si="5">L64-M64</f>
        <v>5</v>
      </c>
      <c r="P64" s="11">
        <f t="shared" ref="P64:P71" si="6">N64-L64</f>
        <v>7</v>
      </c>
      <c r="Q64">
        <v>14</v>
      </c>
      <c r="R64" s="11">
        <v>58</v>
      </c>
      <c r="S64" s="10">
        <v>39.075919999999996</v>
      </c>
      <c r="T64" s="10">
        <v>75.45241</v>
      </c>
      <c r="U64" s="182">
        <f t="shared" si="3"/>
        <v>18.924080000000004</v>
      </c>
      <c r="V64" s="182">
        <f t="shared" si="4"/>
        <v>17.45241</v>
      </c>
      <c r="W64">
        <v>80</v>
      </c>
      <c r="X64">
        <f>IF('CEA Summary'!$O$4=2, L64, IF('CEA Summary'!$O$4=1,R64))</f>
        <v>14</v>
      </c>
      <c r="Y64" s="46">
        <f>IF('CEA Summary'!$O$4=2, O64, IF('CEA Summary'!$O$4=1, U64))</f>
        <v>5</v>
      </c>
      <c r="Z64" s="46">
        <f>IF('CEA Summary'!$O$4=2, P64, IF('CEA Summary'!$O$4=1, V64))</f>
        <v>7</v>
      </c>
      <c r="AA64" s="46">
        <f>IF('CEA Summary'!$O$4=2, Q64, IF('CEA Summary'!$O$4=1, W64))</f>
        <v>14</v>
      </c>
    </row>
    <row r="65" spans="1:27" x14ac:dyDescent="0.25">
      <c r="A65" s="7" t="s">
        <v>501</v>
      </c>
      <c r="B65" s="95" t="s">
        <v>502</v>
      </c>
      <c r="C65" s="7">
        <v>41</v>
      </c>
      <c r="D65" s="7">
        <v>38</v>
      </c>
      <c r="E65" s="67">
        <v>0.89189189999999996</v>
      </c>
      <c r="F65" s="67">
        <v>0.67500000000000004</v>
      </c>
      <c r="G65" s="67">
        <v>0.81578949999999995</v>
      </c>
      <c r="H65" s="7" t="s">
        <v>278</v>
      </c>
      <c r="I65" s="7" t="s">
        <v>235</v>
      </c>
      <c r="J65" s="61">
        <v>0</v>
      </c>
      <c r="K65" t="str">
        <f t="shared" ref="K65:K71" si="7">A65</f>
        <v>R0D</v>
      </c>
      <c r="L65" s="11">
        <v>8</v>
      </c>
      <c r="M65">
        <v>6</v>
      </c>
      <c r="N65">
        <v>13</v>
      </c>
      <c r="O65" s="11">
        <f t="shared" si="5"/>
        <v>2</v>
      </c>
      <c r="P65" s="11">
        <f t="shared" si="6"/>
        <v>5</v>
      </c>
      <c r="Q65">
        <v>14</v>
      </c>
      <c r="R65" s="11">
        <v>82</v>
      </c>
      <c r="S65" s="10">
        <v>65.6738</v>
      </c>
      <c r="T65" s="10">
        <v>92.257310000000004</v>
      </c>
      <c r="U65" s="182">
        <f t="shared" ref="U65:U71" si="8">R65-S65</f>
        <v>16.3262</v>
      </c>
      <c r="V65" s="182">
        <f t="shared" si="4"/>
        <v>10.257310000000004</v>
      </c>
      <c r="W65">
        <v>80</v>
      </c>
      <c r="X65">
        <f>IF('CEA Summary'!$O$4=2, L65, IF('CEA Summary'!$O$4=1,R65))</f>
        <v>8</v>
      </c>
      <c r="Y65" s="46">
        <f>IF('CEA Summary'!$O$4=2, O65, IF('CEA Summary'!$O$4=1, U65))</f>
        <v>2</v>
      </c>
      <c r="Z65" s="46">
        <f>IF('CEA Summary'!$O$4=2, P65, IF('CEA Summary'!$O$4=1, V65))</f>
        <v>5</v>
      </c>
      <c r="AA65" s="46">
        <f>IF('CEA Summary'!$O$4=2, Q65, IF('CEA Summary'!$O$4=1, W65))</f>
        <v>14</v>
      </c>
    </row>
    <row r="66" spans="1:27" x14ac:dyDescent="0.25">
      <c r="A66" s="7" t="s">
        <v>95</v>
      </c>
      <c r="B66" s="95" t="s">
        <v>285</v>
      </c>
      <c r="C66" s="7">
        <v>25</v>
      </c>
      <c r="D66" s="109">
        <v>24</v>
      </c>
      <c r="E66" s="113">
        <v>0.73913039999999997</v>
      </c>
      <c r="F66" s="113">
        <v>0.72</v>
      </c>
      <c r="G66" s="113">
        <v>0.79166669999999995</v>
      </c>
      <c r="H66" s="109" t="s">
        <v>209</v>
      </c>
      <c r="I66" s="109" t="s">
        <v>177</v>
      </c>
      <c r="J66" s="61">
        <v>1.4702219999999999</v>
      </c>
      <c r="K66" t="str">
        <f t="shared" si="7"/>
        <v>RTG</v>
      </c>
      <c r="L66" s="11">
        <v>8</v>
      </c>
      <c r="M66">
        <v>5</v>
      </c>
      <c r="N66">
        <v>14</v>
      </c>
      <c r="O66" s="11">
        <f t="shared" si="5"/>
        <v>3</v>
      </c>
      <c r="P66" s="11">
        <f t="shared" si="6"/>
        <v>6</v>
      </c>
      <c r="Q66">
        <v>14</v>
      </c>
      <c r="R66" s="11">
        <v>79</v>
      </c>
      <c r="S66" s="10">
        <v>57.84872</v>
      </c>
      <c r="T66" s="10">
        <v>92.868139999999997</v>
      </c>
      <c r="U66" s="182">
        <f t="shared" si="8"/>
        <v>21.15128</v>
      </c>
      <c r="V66" s="182">
        <f t="shared" ref="V66:V71" si="9">T66-R66</f>
        <v>13.868139999999997</v>
      </c>
      <c r="W66">
        <v>80</v>
      </c>
      <c r="X66">
        <f>IF('CEA Summary'!$O$4=2, L66, IF('CEA Summary'!$O$4=1,R66))</f>
        <v>8</v>
      </c>
      <c r="Y66" s="46">
        <f>IF('CEA Summary'!$O$4=2, O66, IF('CEA Summary'!$O$4=1, U66))</f>
        <v>3</v>
      </c>
      <c r="Z66" s="46">
        <f>IF('CEA Summary'!$O$4=2, P66, IF('CEA Summary'!$O$4=1, V66))</f>
        <v>6</v>
      </c>
      <c r="AA66" s="46">
        <f>IF('CEA Summary'!$O$4=2, Q66, IF('CEA Summary'!$O$4=1, W66))</f>
        <v>14</v>
      </c>
    </row>
    <row r="67" spans="1:27" x14ac:dyDescent="0.25">
      <c r="A67" s="7" t="s">
        <v>109</v>
      </c>
      <c r="B67" s="95" t="s">
        <v>110</v>
      </c>
      <c r="C67" s="7">
        <v>59</v>
      </c>
      <c r="D67" s="109">
        <v>57</v>
      </c>
      <c r="E67" s="113">
        <v>0.75438590000000005</v>
      </c>
      <c r="F67" s="113">
        <v>0.45762710000000001</v>
      </c>
      <c r="G67" s="113">
        <v>0.63157890000000005</v>
      </c>
      <c r="H67" s="109" t="s">
        <v>660</v>
      </c>
      <c r="I67" s="109" t="s">
        <v>188</v>
      </c>
      <c r="J67" s="61">
        <v>0</v>
      </c>
      <c r="K67" t="str">
        <f t="shared" si="7"/>
        <v>RWE</v>
      </c>
      <c r="L67" s="11">
        <v>11</v>
      </c>
      <c r="M67">
        <v>8</v>
      </c>
      <c r="N67">
        <v>19</v>
      </c>
      <c r="O67" s="11">
        <f t="shared" si="5"/>
        <v>3</v>
      </c>
      <c r="P67" s="11">
        <f t="shared" si="6"/>
        <v>8</v>
      </c>
      <c r="Q67">
        <v>14</v>
      </c>
      <c r="R67" s="11">
        <v>63</v>
      </c>
      <c r="S67" s="10">
        <v>49.344700000000003</v>
      </c>
      <c r="T67" s="10">
        <v>75.553600000000003</v>
      </c>
      <c r="U67" s="182">
        <f t="shared" si="8"/>
        <v>13.655299999999997</v>
      </c>
      <c r="V67" s="182">
        <f t="shared" si="9"/>
        <v>12.553600000000003</v>
      </c>
      <c r="W67">
        <v>80</v>
      </c>
      <c r="X67">
        <f>IF('CEA Summary'!$O$4=2, L67, IF('CEA Summary'!$O$4=1,R67))</f>
        <v>11</v>
      </c>
      <c r="Y67" s="46">
        <f>IF('CEA Summary'!$O$4=2, O67, IF('CEA Summary'!$O$4=1, U67))</f>
        <v>3</v>
      </c>
      <c r="Z67" s="46">
        <f>IF('CEA Summary'!$O$4=2, P67, IF('CEA Summary'!$O$4=1, V67))</f>
        <v>8</v>
      </c>
      <c r="AA67" s="46">
        <f>IF('CEA Summary'!$O$4=2, Q67, IF('CEA Summary'!$O$4=1, W67))</f>
        <v>14</v>
      </c>
    </row>
    <row r="68" spans="1:27" x14ac:dyDescent="0.25">
      <c r="A68" s="7" t="s">
        <v>60</v>
      </c>
      <c r="B68" s="95" t="s">
        <v>169</v>
      </c>
      <c r="C68" s="7">
        <v>27</v>
      </c>
      <c r="D68" s="7">
        <v>24</v>
      </c>
      <c r="E68" s="113">
        <v>0.66666669999999995</v>
      </c>
      <c r="F68" s="113">
        <v>0.3333333</v>
      </c>
      <c r="G68" s="113">
        <v>0.5</v>
      </c>
      <c r="H68" s="109" t="s">
        <v>687</v>
      </c>
      <c r="I68" s="7" t="s">
        <v>237</v>
      </c>
      <c r="J68" s="61">
        <v>0.86839049999999995</v>
      </c>
      <c r="K68" t="str">
        <f t="shared" si="7"/>
        <v>RK9</v>
      </c>
      <c r="L68" s="11">
        <v>15</v>
      </c>
      <c r="M68">
        <v>8</v>
      </c>
      <c r="N68">
        <v>55</v>
      </c>
      <c r="O68" s="11">
        <f t="shared" si="5"/>
        <v>7</v>
      </c>
      <c r="P68" s="11">
        <f t="shared" si="6"/>
        <v>40</v>
      </c>
      <c r="Q68">
        <v>14</v>
      </c>
      <c r="R68" s="11">
        <v>50</v>
      </c>
      <c r="S68" s="10">
        <v>29.124179999999999</v>
      </c>
      <c r="T68" s="10">
        <v>70.875820000000004</v>
      </c>
      <c r="U68" s="182">
        <f t="shared" si="8"/>
        <v>20.875820000000001</v>
      </c>
      <c r="V68" s="182">
        <f t="shared" si="9"/>
        <v>20.875820000000004</v>
      </c>
      <c r="W68">
        <v>80</v>
      </c>
      <c r="X68">
        <f>IF('CEA Summary'!$O$4=2, L68, IF('CEA Summary'!$O$4=1,R68))</f>
        <v>15</v>
      </c>
      <c r="Y68" s="46">
        <f>IF('CEA Summary'!$O$4=2, O68, IF('CEA Summary'!$O$4=1, U68))</f>
        <v>7</v>
      </c>
      <c r="Z68" s="46">
        <f>IF('CEA Summary'!$O$4=2, P68, IF('CEA Summary'!$O$4=1, V68))</f>
        <v>40</v>
      </c>
      <c r="AA68" s="46">
        <f>IF('CEA Summary'!$O$4=2, Q68, IF('CEA Summary'!$O$4=1, W68))</f>
        <v>14</v>
      </c>
    </row>
    <row r="69" spans="1:27" x14ac:dyDescent="0.25">
      <c r="A69" s="7" t="s">
        <v>111</v>
      </c>
      <c r="B69" s="95" t="s">
        <v>112</v>
      </c>
      <c r="C69" s="7">
        <v>45</v>
      </c>
      <c r="D69" s="109">
        <v>44</v>
      </c>
      <c r="E69" s="113">
        <v>0.85714290000000004</v>
      </c>
      <c r="F69" s="113">
        <v>0.48888890000000002</v>
      </c>
      <c r="G69" s="113">
        <v>0.77272730000000001</v>
      </c>
      <c r="H69" s="109" t="s">
        <v>688</v>
      </c>
      <c r="I69" s="109" t="s">
        <v>247</v>
      </c>
      <c r="J69" s="61">
        <v>3.5389409999999999</v>
      </c>
      <c r="K69" t="str">
        <f t="shared" si="7"/>
        <v>RWG</v>
      </c>
      <c r="L69" s="11">
        <v>9</v>
      </c>
      <c r="M69">
        <v>5</v>
      </c>
      <c r="N69">
        <v>14</v>
      </c>
      <c r="O69" s="11">
        <f t="shared" si="5"/>
        <v>4</v>
      </c>
      <c r="P69" s="11">
        <f t="shared" si="6"/>
        <v>5</v>
      </c>
      <c r="Q69">
        <v>14</v>
      </c>
      <c r="R69" s="11">
        <v>77</v>
      </c>
      <c r="S69" s="10">
        <v>62.155709999999999</v>
      </c>
      <c r="T69" s="10">
        <v>88.526649999999989</v>
      </c>
      <c r="U69" s="182">
        <f t="shared" si="8"/>
        <v>14.844290000000001</v>
      </c>
      <c r="V69" s="182">
        <f t="shared" si="9"/>
        <v>11.526649999999989</v>
      </c>
      <c r="W69">
        <v>80</v>
      </c>
      <c r="X69">
        <f>IF('CEA Summary'!$O$4=2, L69, IF('CEA Summary'!$O$4=1,R69))</f>
        <v>9</v>
      </c>
      <c r="Y69" s="46">
        <f>IF('CEA Summary'!$O$4=2, O69, IF('CEA Summary'!$O$4=1, U69))</f>
        <v>4</v>
      </c>
      <c r="Z69" s="46">
        <f>IF('CEA Summary'!$O$4=2, P69, IF('CEA Summary'!$O$4=1, V69))</f>
        <v>5</v>
      </c>
      <c r="AA69" s="46">
        <f>IF('CEA Summary'!$O$4=2, Q69, IF('CEA Summary'!$O$4=1, W69))</f>
        <v>14</v>
      </c>
    </row>
    <row r="70" spans="1:27" x14ac:dyDescent="0.25">
      <c r="A70" s="7" t="s">
        <v>115</v>
      </c>
      <c r="B70" s="95" t="s">
        <v>116</v>
      </c>
      <c r="C70" s="7">
        <v>62</v>
      </c>
      <c r="D70" s="109">
        <v>61</v>
      </c>
      <c r="E70" s="113">
        <v>0.81967210000000001</v>
      </c>
      <c r="F70" s="113">
        <v>0.56451609999999997</v>
      </c>
      <c r="G70" s="113">
        <v>0.7377049</v>
      </c>
      <c r="H70" s="109" t="s">
        <v>379</v>
      </c>
      <c r="I70" s="109" t="s">
        <v>173</v>
      </c>
      <c r="J70" s="61">
        <v>1.724426</v>
      </c>
      <c r="K70" t="str">
        <f t="shared" si="7"/>
        <v>RWP</v>
      </c>
      <c r="L70" s="11">
        <v>9</v>
      </c>
      <c r="M70">
        <v>6</v>
      </c>
      <c r="N70">
        <v>15</v>
      </c>
      <c r="O70" s="11">
        <f t="shared" si="5"/>
        <v>3</v>
      </c>
      <c r="P70" s="11">
        <f t="shared" si="6"/>
        <v>6</v>
      </c>
      <c r="Q70">
        <v>14</v>
      </c>
      <c r="R70" s="11">
        <v>74</v>
      </c>
      <c r="S70" s="10">
        <v>60.92942</v>
      </c>
      <c r="T70" s="10">
        <v>84.203940000000003</v>
      </c>
      <c r="U70" s="182">
        <f t="shared" si="8"/>
        <v>13.07058</v>
      </c>
      <c r="V70" s="182">
        <f t="shared" si="9"/>
        <v>10.203940000000003</v>
      </c>
      <c r="W70">
        <v>80</v>
      </c>
      <c r="X70">
        <f>IF('CEA Summary'!$O$4=2, L70, IF('CEA Summary'!$O$4=1,R70))</f>
        <v>9</v>
      </c>
      <c r="Y70" s="46">
        <f>IF('CEA Summary'!$O$4=2, O70, IF('CEA Summary'!$O$4=1, U70))</f>
        <v>3</v>
      </c>
      <c r="Z70" s="46">
        <f>IF('CEA Summary'!$O$4=2, P70, IF('CEA Summary'!$O$4=1, V70))</f>
        <v>6</v>
      </c>
      <c r="AA70" s="46">
        <f>IF('CEA Summary'!$O$4=2, Q70, IF('CEA Summary'!$O$4=1, W70))</f>
        <v>14</v>
      </c>
    </row>
    <row r="71" spans="1:27" x14ac:dyDescent="0.25">
      <c r="A71" s="7" t="s">
        <v>25</v>
      </c>
      <c r="B71" s="95" t="s">
        <v>26</v>
      </c>
      <c r="C71" s="7">
        <v>80</v>
      </c>
      <c r="D71" s="7">
        <v>79</v>
      </c>
      <c r="E71" s="67">
        <v>0.7721519</v>
      </c>
      <c r="F71" s="67">
        <v>0.88749999999999996</v>
      </c>
      <c r="G71" s="67">
        <v>0.82278479999999998</v>
      </c>
      <c r="H71" s="7" t="s">
        <v>648</v>
      </c>
      <c r="I71" s="7" t="s">
        <v>188</v>
      </c>
      <c r="J71" s="61">
        <v>2.7784309999999999</v>
      </c>
      <c r="K71" t="str">
        <f t="shared" si="7"/>
        <v>RCB</v>
      </c>
      <c r="L71" s="11">
        <v>5</v>
      </c>
      <c r="M71">
        <v>3</v>
      </c>
      <c r="N71">
        <v>11</v>
      </c>
      <c r="O71" s="11">
        <f t="shared" si="5"/>
        <v>2</v>
      </c>
      <c r="P71" s="11">
        <f t="shared" si="6"/>
        <v>6</v>
      </c>
      <c r="Q71">
        <v>14</v>
      </c>
      <c r="R71" s="11">
        <v>82</v>
      </c>
      <c r="S71" s="10">
        <v>72.057540000000003</v>
      </c>
      <c r="T71" s="10">
        <v>89.958749999999995</v>
      </c>
      <c r="U71" s="182">
        <f t="shared" si="8"/>
        <v>9.942459999999997</v>
      </c>
      <c r="V71" s="182">
        <f t="shared" si="9"/>
        <v>7.9587499999999949</v>
      </c>
      <c r="W71">
        <v>80</v>
      </c>
      <c r="X71">
        <f>IF('CEA Summary'!$O$4=2, L71, IF('CEA Summary'!$O$4=1,R71))</f>
        <v>5</v>
      </c>
      <c r="Y71" s="46">
        <f>IF('CEA Summary'!$O$4=2, O71, IF('CEA Summary'!$O$4=1, U71))</f>
        <v>2</v>
      </c>
      <c r="Z71" s="46">
        <f>IF('CEA Summary'!$O$4=2, P71, IF('CEA Summary'!$O$4=1, V71))</f>
        <v>6</v>
      </c>
      <c r="AA71" s="46">
        <f>IF('CEA Summary'!$O$4=2, Q71, IF('CEA Summary'!$O$4=1, W71))</f>
        <v>14</v>
      </c>
    </row>
  </sheetData>
  <sortState ref="A2:AA72">
    <sortCondition ref="B2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35" workbookViewId="0">
      <selection activeCell="C71" sqref="C71"/>
    </sheetView>
  </sheetViews>
  <sheetFormatPr defaultRowHeight="15" x14ac:dyDescent="0.25"/>
  <cols>
    <col min="1" max="3" width="9.140625" style="48"/>
    <col min="4" max="4" width="9.140625" style="26"/>
    <col min="5" max="5" width="9.140625" style="48"/>
  </cols>
  <sheetData>
    <row r="1" spans="1:5" x14ac:dyDescent="0.25">
      <c r="A1" s="26" t="s">
        <v>297</v>
      </c>
      <c r="B1" s="26" t="s">
        <v>298</v>
      </c>
      <c r="C1" s="26" t="s">
        <v>300</v>
      </c>
      <c r="D1" s="26" t="s">
        <v>301</v>
      </c>
      <c r="E1" s="26" t="s">
        <v>351</v>
      </c>
    </row>
    <row r="2" spans="1:5" x14ac:dyDescent="0.25">
      <c r="A2" s="26" t="s">
        <v>299</v>
      </c>
      <c r="B2" s="26">
        <v>0</v>
      </c>
      <c r="C2" s="26">
        <v>60</v>
      </c>
      <c r="D2" s="26">
        <v>2.2000000000000002</v>
      </c>
      <c r="E2"/>
    </row>
    <row r="3" spans="1:5" x14ac:dyDescent="0.25">
      <c r="A3" s="26" t="s">
        <v>299</v>
      </c>
      <c r="B3">
        <v>6</v>
      </c>
      <c r="C3">
        <v>48.07414</v>
      </c>
      <c r="D3" s="26">
        <v>2.2000000000000002</v>
      </c>
      <c r="E3"/>
    </row>
    <row r="4" spans="1:5" x14ac:dyDescent="0.25">
      <c r="A4" s="26" t="s">
        <v>299</v>
      </c>
      <c r="B4">
        <v>11</v>
      </c>
      <c r="C4">
        <v>30.8538</v>
      </c>
      <c r="D4" s="26">
        <v>2.2000000000000002</v>
      </c>
      <c r="E4"/>
    </row>
    <row r="5" spans="1:5" x14ac:dyDescent="0.25">
      <c r="A5" s="26" t="s">
        <v>299</v>
      </c>
      <c r="B5">
        <v>16</v>
      </c>
      <c r="C5">
        <v>24.143509999999999</v>
      </c>
      <c r="D5" s="26">
        <v>2.2000000000000002</v>
      </c>
      <c r="E5"/>
    </row>
    <row r="6" spans="1:5" x14ac:dyDescent="0.25">
      <c r="A6" s="26" t="s">
        <v>299</v>
      </c>
      <c r="B6">
        <v>23</v>
      </c>
      <c r="C6">
        <v>19.103899999999999</v>
      </c>
      <c r="D6" s="26">
        <v>2.2000000000000002</v>
      </c>
      <c r="E6"/>
    </row>
    <row r="7" spans="1:5" x14ac:dyDescent="0.25">
      <c r="A7" s="26" t="s">
        <v>299</v>
      </c>
      <c r="B7">
        <v>24</v>
      </c>
      <c r="C7">
        <v>18.76003</v>
      </c>
      <c r="D7" s="26">
        <v>2.2000000000000002</v>
      </c>
      <c r="E7"/>
    </row>
    <row r="8" spans="1:5" x14ac:dyDescent="0.25">
      <c r="A8" s="26" t="s">
        <v>299</v>
      </c>
      <c r="B8">
        <v>25</v>
      </c>
      <c r="C8">
        <v>18.366620000000001</v>
      </c>
      <c r="D8" s="26">
        <v>2.2000000000000002</v>
      </c>
      <c r="E8"/>
    </row>
    <row r="9" spans="1:5" x14ac:dyDescent="0.25">
      <c r="A9" s="26" t="s">
        <v>299</v>
      </c>
      <c r="B9">
        <v>31</v>
      </c>
      <c r="C9">
        <v>15.809139999999999</v>
      </c>
      <c r="D9" s="26">
        <v>2.2000000000000002</v>
      </c>
      <c r="E9"/>
    </row>
    <row r="10" spans="1:5" x14ac:dyDescent="0.25">
      <c r="A10" s="26" t="s">
        <v>299</v>
      </c>
      <c r="B10">
        <v>41</v>
      </c>
      <c r="C10">
        <v>13.685219999999999</v>
      </c>
      <c r="D10" s="26">
        <v>2.2000000000000002</v>
      </c>
      <c r="E10"/>
    </row>
    <row r="11" spans="1:5" x14ac:dyDescent="0.25">
      <c r="A11" s="26" t="s">
        <v>299</v>
      </c>
      <c r="B11">
        <v>45</v>
      </c>
      <c r="C11">
        <v>12.90912</v>
      </c>
      <c r="D11" s="26">
        <v>2.2000000000000002</v>
      </c>
      <c r="E11"/>
    </row>
    <row r="12" spans="1:5" x14ac:dyDescent="0.25">
      <c r="A12" s="26" t="s">
        <v>299</v>
      </c>
      <c r="B12">
        <v>49</v>
      </c>
      <c r="C12">
        <v>12.118840000000001</v>
      </c>
      <c r="D12" s="26">
        <v>2.2000000000000002</v>
      </c>
      <c r="E12"/>
    </row>
    <row r="13" spans="1:5" x14ac:dyDescent="0.25">
      <c r="A13" s="26" t="s">
        <v>299</v>
      </c>
      <c r="B13">
        <v>51</v>
      </c>
      <c r="C13">
        <v>11.739380000000001</v>
      </c>
      <c r="D13" s="26">
        <v>2.2000000000000002</v>
      </c>
      <c r="E13"/>
    </row>
    <row r="14" spans="1:5" x14ac:dyDescent="0.25">
      <c r="A14" s="26" t="s">
        <v>299</v>
      </c>
      <c r="B14">
        <v>53</v>
      </c>
      <c r="C14">
        <v>11.617509999999999</v>
      </c>
      <c r="D14" s="26">
        <v>2.2000000000000002</v>
      </c>
      <c r="E14"/>
    </row>
    <row r="15" spans="1:5" x14ac:dyDescent="0.25">
      <c r="A15" s="26" t="s">
        <v>299</v>
      </c>
      <c r="B15">
        <v>61</v>
      </c>
      <c r="C15">
        <v>10.99455</v>
      </c>
      <c r="D15" s="26">
        <v>2.2000000000000002</v>
      </c>
      <c r="E15"/>
    </row>
    <row r="16" spans="1:5" x14ac:dyDescent="0.25">
      <c r="A16" s="26" t="s">
        <v>299</v>
      </c>
      <c r="B16">
        <v>72</v>
      </c>
      <c r="C16">
        <v>9.9342369999999995</v>
      </c>
      <c r="D16" s="26">
        <v>2.2000000000000002</v>
      </c>
      <c r="E16"/>
    </row>
    <row r="17" spans="1:5" x14ac:dyDescent="0.25">
      <c r="A17" s="26" t="s">
        <v>299</v>
      </c>
      <c r="B17">
        <v>74</v>
      </c>
      <c r="C17">
        <v>9.8839500000000005</v>
      </c>
      <c r="D17" s="26">
        <v>2.2000000000000002</v>
      </c>
      <c r="E17"/>
    </row>
    <row r="18" spans="1:5" x14ac:dyDescent="0.25">
      <c r="A18" s="26" t="s">
        <v>299</v>
      </c>
      <c r="B18">
        <v>77</v>
      </c>
      <c r="C18">
        <v>9.7515269999999994</v>
      </c>
      <c r="D18" s="26">
        <v>2.2000000000000002</v>
      </c>
      <c r="E18"/>
    </row>
    <row r="19" spans="1:5" x14ac:dyDescent="0.25">
      <c r="A19" s="26" t="s">
        <v>299</v>
      </c>
      <c r="B19">
        <v>79</v>
      </c>
      <c r="C19">
        <v>9.6376570000000008</v>
      </c>
      <c r="D19" s="26">
        <v>2.2000000000000002</v>
      </c>
      <c r="E19"/>
    </row>
    <row r="20" spans="1:5" x14ac:dyDescent="0.25">
      <c r="A20" s="26" t="s">
        <v>299</v>
      </c>
      <c r="B20">
        <v>84</v>
      </c>
      <c r="C20">
        <v>9.3038620000000005</v>
      </c>
      <c r="D20" s="26">
        <v>2.2000000000000002</v>
      </c>
      <c r="E20"/>
    </row>
    <row r="21" spans="1:5" x14ac:dyDescent="0.25">
      <c r="A21" s="26" t="s">
        <v>299</v>
      </c>
      <c r="B21">
        <v>90</v>
      </c>
      <c r="C21">
        <v>8.8676410000000008</v>
      </c>
      <c r="D21" s="26">
        <v>2.2000000000000002</v>
      </c>
      <c r="E21"/>
    </row>
    <row r="22" spans="1:5" x14ac:dyDescent="0.25">
      <c r="A22" s="26" t="s">
        <v>299</v>
      </c>
      <c r="B22">
        <v>92</v>
      </c>
      <c r="C22">
        <v>8.8029410000000006</v>
      </c>
      <c r="D22" s="26">
        <v>2.2000000000000002</v>
      </c>
      <c r="E22"/>
    </row>
    <row r="23" spans="1:5" x14ac:dyDescent="0.25">
      <c r="A23" s="26" t="s">
        <v>299</v>
      </c>
      <c r="B23">
        <v>95</v>
      </c>
      <c r="C23">
        <v>8.7581179999999996</v>
      </c>
      <c r="D23" s="26">
        <v>2.2000000000000002</v>
      </c>
      <c r="E23"/>
    </row>
    <row r="24" spans="1:5" x14ac:dyDescent="0.25">
      <c r="A24" s="26" t="s">
        <v>299</v>
      </c>
      <c r="B24">
        <v>97</v>
      </c>
      <c r="C24">
        <v>8.7035400000000003</v>
      </c>
      <c r="D24" s="26">
        <v>2.2000000000000002</v>
      </c>
      <c r="E24"/>
    </row>
    <row r="25" spans="1:5" x14ac:dyDescent="0.25">
      <c r="A25" s="26" t="s">
        <v>299</v>
      </c>
      <c r="B25">
        <v>102</v>
      </c>
      <c r="C25">
        <v>8.5118989999999997</v>
      </c>
      <c r="D25" s="26">
        <v>2.2000000000000002</v>
      </c>
      <c r="E25"/>
    </row>
    <row r="26" spans="1:5" x14ac:dyDescent="0.25">
      <c r="A26" s="26" t="s">
        <v>299</v>
      </c>
      <c r="B26">
        <v>103</v>
      </c>
      <c r="C26">
        <v>8.4671719999999997</v>
      </c>
      <c r="D26" s="26">
        <v>2.2000000000000002</v>
      </c>
      <c r="E26"/>
    </row>
    <row r="27" spans="1:5" x14ac:dyDescent="0.25">
      <c r="A27" s="26" t="s">
        <v>299</v>
      </c>
      <c r="B27">
        <v>104</v>
      </c>
      <c r="C27">
        <v>8.4209899999999998</v>
      </c>
      <c r="D27" s="26">
        <v>2.2000000000000002</v>
      </c>
      <c r="E27"/>
    </row>
    <row r="28" spans="1:5" x14ac:dyDescent="0.25">
      <c r="A28" s="26" t="s">
        <v>299</v>
      </c>
      <c r="B28">
        <v>106</v>
      </c>
      <c r="C28">
        <v>8.3251500000000007</v>
      </c>
      <c r="D28" s="26">
        <v>2.2000000000000002</v>
      </c>
      <c r="E28"/>
    </row>
    <row r="29" spans="1:5" x14ac:dyDescent="0.25">
      <c r="A29" s="26" t="s">
        <v>299</v>
      </c>
      <c r="B29">
        <v>109</v>
      </c>
      <c r="C29">
        <v>8.1754090000000001</v>
      </c>
      <c r="D29" s="26">
        <v>2.2000000000000002</v>
      </c>
      <c r="E29"/>
    </row>
    <row r="30" spans="1:5" x14ac:dyDescent="0.25">
      <c r="A30" s="26" t="s">
        <v>299</v>
      </c>
      <c r="B30">
        <v>112</v>
      </c>
      <c r="C30">
        <v>8.0218469999999993</v>
      </c>
      <c r="D30" s="26">
        <v>2.2000000000000002</v>
      </c>
      <c r="E30"/>
    </row>
    <row r="31" spans="1:5" x14ac:dyDescent="0.25">
      <c r="A31" s="26" t="s">
        <v>299</v>
      </c>
      <c r="B31">
        <v>113</v>
      </c>
      <c r="C31">
        <v>7.9860300000000004</v>
      </c>
      <c r="D31" s="26">
        <v>2.2000000000000002</v>
      </c>
      <c r="E31"/>
    </row>
    <row r="32" spans="1:5" x14ac:dyDescent="0.25">
      <c r="A32" s="26" t="s">
        <v>299</v>
      </c>
      <c r="B32">
        <v>114</v>
      </c>
      <c r="C32">
        <v>7.9839989999999998</v>
      </c>
      <c r="D32" s="26">
        <v>2.2000000000000002</v>
      </c>
      <c r="E32"/>
    </row>
    <row r="33" spans="1:5" x14ac:dyDescent="0.25">
      <c r="A33" s="26" t="s">
        <v>299</v>
      </c>
      <c r="B33">
        <v>117</v>
      </c>
      <c r="C33">
        <v>7.9532870000000004</v>
      </c>
      <c r="D33" s="26">
        <v>2.2000000000000002</v>
      </c>
      <c r="E33"/>
    </row>
    <row r="34" spans="1:5" x14ac:dyDescent="0.25">
      <c r="A34" s="26" t="s">
        <v>299</v>
      </c>
      <c r="B34">
        <v>118</v>
      </c>
      <c r="C34">
        <v>7.936242</v>
      </c>
      <c r="D34" s="26">
        <v>2.2000000000000002</v>
      </c>
      <c r="E34"/>
    </row>
    <row r="35" spans="1:5" x14ac:dyDescent="0.25">
      <c r="A35" s="26" t="s">
        <v>299</v>
      </c>
      <c r="B35">
        <v>119</v>
      </c>
      <c r="C35">
        <v>7.916391</v>
      </c>
      <c r="D35" s="26">
        <v>2.2000000000000002</v>
      </c>
      <c r="E35"/>
    </row>
    <row r="36" spans="1:5" x14ac:dyDescent="0.25">
      <c r="A36" s="26" t="s">
        <v>299</v>
      </c>
      <c r="B36">
        <v>124</v>
      </c>
      <c r="C36">
        <v>7.7847330000000001</v>
      </c>
      <c r="D36" s="26">
        <v>2.2000000000000002</v>
      </c>
      <c r="E36"/>
    </row>
    <row r="37" spans="1:5" x14ac:dyDescent="0.25">
      <c r="A37" s="26" t="s">
        <v>299</v>
      </c>
      <c r="B37">
        <v>125</v>
      </c>
      <c r="C37">
        <v>7.7535049999999996</v>
      </c>
      <c r="D37" s="26">
        <v>2.2000000000000002</v>
      </c>
      <c r="E37"/>
    </row>
    <row r="38" spans="1:5" x14ac:dyDescent="0.25">
      <c r="A38" s="26" t="s">
        <v>299</v>
      </c>
      <c r="B38">
        <v>126</v>
      </c>
      <c r="C38">
        <v>7.7210760000000001</v>
      </c>
      <c r="D38" s="26">
        <v>2.2000000000000002</v>
      </c>
      <c r="E38"/>
    </row>
    <row r="39" spans="1:5" x14ac:dyDescent="0.25">
      <c r="A39" s="26" t="s">
        <v>299</v>
      </c>
      <c r="B39">
        <v>127</v>
      </c>
      <c r="C39">
        <v>7.6875929999999997</v>
      </c>
      <c r="D39" s="26">
        <v>2.2000000000000002</v>
      </c>
      <c r="E39"/>
    </row>
    <row r="40" spans="1:5" x14ac:dyDescent="0.25">
      <c r="A40" s="26" t="s">
        <v>299</v>
      </c>
      <c r="B40">
        <v>132</v>
      </c>
      <c r="C40">
        <v>7.5086969999999997</v>
      </c>
      <c r="D40" s="26">
        <v>2.2000000000000002</v>
      </c>
      <c r="E40"/>
    </row>
    <row r="41" spans="1:5" x14ac:dyDescent="0.25">
      <c r="A41" s="26" t="s">
        <v>299</v>
      </c>
      <c r="B41">
        <v>134</v>
      </c>
      <c r="C41">
        <v>7.433624</v>
      </c>
      <c r="D41" s="26">
        <v>2.2000000000000002</v>
      </c>
      <c r="E41"/>
    </row>
    <row r="42" spans="1:5" x14ac:dyDescent="0.25">
      <c r="A42" s="26" t="s">
        <v>299</v>
      </c>
      <c r="B42">
        <v>137</v>
      </c>
      <c r="C42">
        <v>7.3672399999999998</v>
      </c>
      <c r="D42" s="26">
        <v>2.2000000000000002</v>
      </c>
      <c r="E42"/>
    </row>
    <row r="43" spans="1:5" x14ac:dyDescent="0.25">
      <c r="A43" s="26" t="s">
        <v>299</v>
      </c>
      <c r="B43">
        <v>141</v>
      </c>
      <c r="C43">
        <v>7.3343970000000001</v>
      </c>
      <c r="D43" s="26">
        <v>2.2000000000000002</v>
      </c>
      <c r="E43"/>
    </row>
    <row r="44" spans="1:5" x14ac:dyDescent="0.25">
      <c r="A44" s="26" t="s">
        <v>299</v>
      </c>
      <c r="B44">
        <v>149</v>
      </c>
      <c r="C44">
        <v>7.1802200000000003</v>
      </c>
      <c r="D44" s="26">
        <v>2.2000000000000002</v>
      </c>
      <c r="E44"/>
    </row>
    <row r="45" spans="1:5" x14ac:dyDescent="0.25">
      <c r="A45" s="26" t="s">
        <v>299</v>
      </c>
      <c r="B45">
        <v>150</v>
      </c>
      <c r="C45">
        <v>7.155672</v>
      </c>
      <c r="D45" s="26">
        <v>2.2000000000000002</v>
      </c>
      <c r="E45"/>
    </row>
    <row r="46" spans="1:5" x14ac:dyDescent="0.25">
      <c r="A46" s="26" t="s">
        <v>299</v>
      </c>
      <c r="B46">
        <v>152</v>
      </c>
      <c r="C46">
        <v>7.104266</v>
      </c>
      <c r="D46" s="26">
        <v>2.2000000000000002</v>
      </c>
      <c r="E46"/>
    </row>
    <row r="47" spans="1:5" x14ac:dyDescent="0.25">
      <c r="A47" s="26" t="s">
        <v>299</v>
      </c>
      <c r="B47">
        <v>154</v>
      </c>
      <c r="C47">
        <v>7.050325</v>
      </c>
      <c r="D47" s="26">
        <v>2.2000000000000002</v>
      </c>
      <c r="E47"/>
    </row>
    <row r="48" spans="1:5" x14ac:dyDescent="0.25">
      <c r="A48" s="26" t="s">
        <v>299</v>
      </c>
      <c r="B48">
        <v>157</v>
      </c>
      <c r="C48">
        <v>6.965865</v>
      </c>
      <c r="D48" s="26">
        <v>2.2000000000000002</v>
      </c>
      <c r="E48"/>
    </row>
    <row r="49" spans="1:5" x14ac:dyDescent="0.25">
      <c r="A49" s="26" t="s">
        <v>299</v>
      </c>
      <c r="B49">
        <v>162</v>
      </c>
      <c r="C49">
        <v>6.8822700000000001</v>
      </c>
      <c r="D49" s="26">
        <v>2.2000000000000002</v>
      </c>
      <c r="E49"/>
    </row>
    <row r="50" spans="1:5" x14ac:dyDescent="0.25">
      <c r="A50" s="26" t="s">
        <v>299</v>
      </c>
      <c r="B50">
        <v>163</v>
      </c>
      <c r="C50">
        <v>6.8772180000000001</v>
      </c>
      <c r="D50" s="26">
        <v>2.2000000000000002</v>
      </c>
      <c r="E50"/>
    </row>
    <row r="51" spans="1:5" x14ac:dyDescent="0.25">
      <c r="A51" s="26" t="s">
        <v>299</v>
      </c>
      <c r="B51">
        <v>171</v>
      </c>
      <c r="C51">
        <v>6.7819039999999999</v>
      </c>
      <c r="D51" s="26">
        <v>2.2000000000000002</v>
      </c>
      <c r="E51"/>
    </row>
    <row r="52" spans="1:5" x14ac:dyDescent="0.25">
      <c r="A52" s="26" t="s">
        <v>299</v>
      </c>
      <c r="B52">
        <v>174</v>
      </c>
      <c r="C52">
        <v>6.7284079999999999</v>
      </c>
      <c r="D52" s="26">
        <v>2.2000000000000002</v>
      </c>
      <c r="E52"/>
    </row>
    <row r="53" spans="1:5" x14ac:dyDescent="0.25">
      <c r="A53" s="26" t="s">
        <v>299</v>
      </c>
      <c r="B53">
        <v>175</v>
      </c>
      <c r="C53">
        <v>6.7091159999999999</v>
      </c>
      <c r="D53" s="26">
        <v>2.2000000000000002</v>
      </c>
      <c r="E53"/>
    </row>
    <row r="54" spans="1:5" x14ac:dyDescent="0.25">
      <c r="A54" s="26" t="s">
        <v>299</v>
      </c>
      <c r="B54">
        <v>185</v>
      </c>
      <c r="C54">
        <v>6.4986329999999999</v>
      </c>
      <c r="D54" s="26">
        <v>2.2000000000000002</v>
      </c>
      <c r="E54"/>
    </row>
    <row r="55" spans="1:5" x14ac:dyDescent="0.25">
      <c r="A55" s="26" t="s">
        <v>299</v>
      </c>
      <c r="B55">
        <v>189</v>
      </c>
      <c r="C55">
        <v>6.4862489999999999</v>
      </c>
      <c r="D55" s="26">
        <v>2.2000000000000002</v>
      </c>
      <c r="E55"/>
    </row>
    <row r="56" spans="1:5" x14ac:dyDescent="0.25">
      <c r="A56" s="26" t="s">
        <v>299</v>
      </c>
      <c r="B56">
        <v>199</v>
      </c>
      <c r="C56">
        <v>6.3761850000000004</v>
      </c>
      <c r="D56" s="26">
        <v>2.2000000000000002</v>
      </c>
      <c r="E56"/>
    </row>
    <row r="57" spans="1:5" x14ac:dyDescent="0.25">
      <c r="A57" s="26" t="s">
        <v>299</v>
      </c>
      <c r="B57">
        <v>204</v>
      </c>
      <c r="C57">
        <v>6.2955550000000002</v>
      </c>
      <c r="D57" s="26">
        <v>2.2000000000000002</v>
      </c>
      <c r="E57"/>
    </row>
    <row r="58" spans="1:5" x14ac:dyDescent="0.25">
      <c r="A58" s="26" t="s">
        <v>299</v>
      </c>
      <c r="B58">
        <v>206</v>
      </c>
      <c r="C58">
        <v>6.26044</v>
      </c>
      <c r="D58" s="26">
        <v>2.2000000000000002</v>
      </c>
      <c r="E58"/>
    </row>
    <row r="59" spans="1:5" x14ac:dyDescent="0.25">
      <c r="A59" s="26" t="s">
        <v>299</v>
      </c>
      <c r="B59">
        <v>210</v>
      </c>
      <c r="C59">
        <v>6.1867510000000001</v>
      </c>
      <c r="D59" s="26">
        <v>2.2000000000000002</v>
      </c>
      <c r="E59"/>
    </row>
    <row r="60" spans="1:5" x14ac:dyDescent="0.25">
      <c r="A60" s="26" t="s">
        <v>299</v>
      </c>
      <c r="B60">
        <v>223</v>
      </c>
      <c r="C60">
        <v>6.1030189999999997</v>
      </c>
      <c r="D60" s="26">
        <v>2.2000000000000002</v>
      </c>
      <c r="E60"/>
    </row>
    <row r="61" spans="1:5" x14ac:dyDescent="0.25">
      <c r="A61" s="26" t="s">
        <v>299</v>
      </c>
      <c r="B61">
        <v>244</v>
      </c>
      <c r="C61">
        <v>5.89194</v>
      </c>
      <c r="D61" s="26">
        <v>2.2000000000000002</v>
      </c>
      <c r="E61"/>
    </row>
    <row r="62" spans="1:5" x14ac:dyDescent="0.25">
      <c r="A62" s="26" t="s">
        <v>299</v>
      </c>
      <c r="B62">
        <v>248</v>
      </c>
      <c r="C62">
        <v>5.8634919999999999</v>
      </c>
      <c r="D62" s="26">
        <v>2.2000000000000002</v>
      </c>
      <c r="E62"/>
    </row>
    <row r="63" spans="1:5" x14ac:dyDescent="0.25">
      <c r="A63" s="26" t="s">
        <v>299</v>
      </c>
      <c r="B63">
        <v>251</v>
      </c>
      <c r="C63">
        <v>5.8365299999999998</v>
      </c>
      <c r="D63" s="26">
        <v>2.2000000000000002</v>
      </c>
      <c r="E63"/>
    </row>
    <row r="64" spans="1:5" x14ac:dyDescent="0.25">
      <c r="A64" s="26" t="s">
        <v>299</v>
      </c>
      <c r="B64">
        <v>255</v>
      </c>
      <c r="C64">
        <v>5.7947280000000001</v>
      </c>
      <c r="D64" s="26">
        <v>2.2000000000000002</v>
      </c>
      <c r="E64"/>
    </row>
    <row r="65" spans="1:5" x14ac:dyDescent="0.25">
      <c r="A65" s="26" t="s">
        <v>299</v>
      </c>
      <c r="B65">
        <v>259</v>
      </c>
      <c r="C65">
        <v>5.7477450000000001</v>
      </c>
      <c r="D65" s="26">
        <v>2.2000000000000002</v>
      </c>
      <c r="E65"/>
    </row>
    <row r="66" spans="1:5" x14ac:dyDescent="0.25">
      <c r="A66" s="26" t="s">
        <v>299</v>
      </c>
      <c r="B66">
        <v>261</v>
      </c>
      <c r="C66">
        <v>5.7227329999999998</v>
      </c>
      <c r="D66" s="26">
        <v>2.2000000000000002</v>
      </c>
      <c r="E66"/>
    </row>
    <row r="67" spans="1:5" x14ac:dyDescent="0.25">
      <c r="A67" s="26" t="s">
        <v>299</v>
      </c>
      <c r="B67">
        <v>263</v>
      </c>
      <c r="C67">
        <v>5.696898</v>
      </c>
      <c r="D67" s="26">
        <v>2.2000000000000002</v>
      </c>
      <c r="E67"/>
    </row>
    <row r="68" spans="1:5" x14ac:dyDescent="0.25">
      <c r="A68" s="26" t="s">
        <v>299</v>
      </c>
      <c r="B68">
        <v>291</v>
      </c>
      <c r="C68">
        <v>5.4955340000000001</v>
      </c>
      <c r="D68" s="26">
        <v>2.2000000000000002</v>
      </c>
      <c r="E68"/>
    </row>
    <row r="69" spans="1:5" x14ac:dyDescent="0.25">
      <c r="A69" s="26" t="s">
        <v>299</v>
      </c>
      <c r="B69">
        <v>337</v>
      </c>
      <c r="C69">
        <v>5.256437</v>
      </c>
      <c r="D69" s="26">
        <v>2.2000000000000002</v>
      </c>
      <c r="E69"/>
    </row>
    <row r="70" spans="1:5" x14ac:dyDescent="0.25">
      <c r="A70" s="26" t="s">
        <v>299</v>
      </c>
      <c r="B70">
        <v>341</v>
      </c>
      <c r="C70">
        <v>5.228275</v>
      </c>
      <c r="D70" s="26">
        <v>2.2000000000000002</v>
      </c>
    </row>
    <row r="71" spans="1:5" x14ac:dyDescent="0.25">
      <c r="A71" s="26" t="s">
        <v>299</v>
      </c>
      <c r="B71" s="26">
        <v>350</v>
      </c>
      <c r="C71">
        <v>5.1711479999999996</v>
      </c>
      <c r="D71" s="26">
        <v>2.2000000000000002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16" workbookViewId="0">
      <selection activeCell="A44" sqref="A44:XFD44"/>
    </sheetView>
  </sheetViews>
  <sheetFormatPr defaultRowHeight="15" x14ac:dyDescent="0.25"/>
  <cols>
    <col min="1" max="1" width="10.42578125" bestFit="1" customWidth="1"/>
    <col min="2" max="2" width="9.7109375" bestFit="1" customWidth="1"/>
    <col min="3" max="3" width="15.42578125" bestFit="1" customWidth="1"/>
  </cols>
  <sheetData>
    <row r="1" spans="1:3" x14ac:dyDescent="0.25">
      <c r="A1" s="76" t="s">
        <v>302</v>
      </c>
      <c r="B1" s="76" t="s">
        <v>303</v>
      </c>
      <c r="C1" s="76" t="s">
        <v>304</v>
      </c>
    </row>
    <row r="2" spans="1:3" x14ac:dyDescent="0.25">
      <c r="A2" s="7" t="s">
        <v>0</v>
      </c>
      <c r="B2" s="76">
        <v>84</v>
      </c>
      <c r="C2" s="30">
        <v>2.6556220000000001</v>
      </c>
    </row>
    <row r="3" spans="1:3" x14ac:dyDescent="0.25">
      <c r="A3" s="7" t="s">
        <v>2</v>
      </c>
      <c r="B3" s="76">
        <v>204</v>
      </c>
      <c r="C3" s="30">
        <v>2.3179560000000001</v>
      </c>
    </row>
    <row r="4" spans="1:3" x14ac:dyDescent="0.25">
      <c r="A4" s="7" t="s">
        <v>3</v>
      </c>
      <c r="B4" s="76">
        <v>23</v>
      </c>
      <c r="C4" s="30">
        <v>3.9202840000000001</v>
      </c>
    </row>
    <row r="5" spans="1:3" x14ac:dyDescent="0.25">
      <c r="A5" s="7" t="s">
        <v>6</v>
      </c>
      <c r="B5" s="76">
        <v>92</v>
      </c>
      <c r="C5" s="30">
        <v>3.4673099999999999</v>
      </c>
    </row>
    <row r="6" spans="1:3" x14ac:dyDescent="0.25">
      <c r="A6" s="7" t="s">
        <v>8</v>
      </c>
      <c r="B6" s="76">
        <v>337</v>
      </c>
      <c r="C6" s="30">
        <v>2.6487259999999999</v>
      </c>
    </row>
    <row r="7" spans="1:3" x14ac:dyDescent="0.25">
      <c r="A7" s="7" t="s">
        <v>498</v>
      </c>
      <c r="B7" s="76">
        <v>152</v>
      </c>
      <c r="C7" s="30">
        <v>1.3174760000000001</v>
      </c>
    </row>
    <row r="8" spans="1:3" x14ac:dyDescent="0.25">
      <c r="A8" s="7" t="s">
        <v>501</v>
      </c>
      <c r="B8" s="76">
        <v>126</v>
      </c>
      <c r="C8" s="30">
        <v>0</v>
      </c>
    </row>
    <row r="9" spans="1:3" x14ac:dyDescent="0.25">
      <c r="A9" s="7" t="s">
        <v>10</v>
      </c>
      <c r="B9" s="76">
        <v>49</v>
      </c>
      <c r="C9" s="30">
        <v>7.5641860000000003</v>
      </c>
    </row>
    <row r="10" spans="1:3" x14ac:dyDescent="0.25">
      <c r="A10" s="7" t="s">
        <v>12</v>
      </c>
      <c r="B10" s="76">
        <v>103</v>
      </c>
      <c r="C10" s="30">
        <v>4.1193119999999999</v>
      </c>
    </row>
    <row r="11" spans="1:3" x14ac:dyDescent="0.25">
      <c r="A11" s="7" t="s">
        <v>15</v>
      </c>
      <c r="B11" s="76">
        <v>61</v>
      </c>
      <c r="C11" s="30">
        <v>1.5458620000000001</v>
      </c>
    </row>
    <row r="12" spans="1:3" x14ac:dyDescent="0.25">
      <c r="A12" s="7" t="s">
        <v>17</v>
      </c>
      <c r="B12" s="76">
        <v>255</v>
      </c>
      <c r="C12" s="30">
        <v>0.65829000000000004</v>
      </c>
    </row>
    <row r="13" spans="1:3" x14ac:dyDescent="0.25">
      <c r="A13" s="7" t="s">
        <v>19</v>
      </c>
      <c r="B13" s="76">
        <v>72</v>
      </c>
      <c r="C13" s="30">
        <v>1.9586950000000001</v>
      </c>
    </row>
    <row r="14" spans="1:3" x14ac:dyDescent="0.25">
      <c r="A14" s="7" t="s">
        <v>505</v>
      </c>
      <c r="B14" s="76">
        <v>11</v>
      </c>
      <c r="C14" s="30">
        <v>0</v>
      </c>
    </row>
    <row r="15" spans="1:3" x14ac:dyDescent="0.25">
      <c r="A15" s="7" t="s">
        <v>610</v>
      </c>
      <c r="B15" s="76">
        <v>162</v>
      </c>
      <c r="C15" s="30">
        <v>2.7495980000000002</v>
      </c>
    </row>
    <row r="16" spans="1:3" x14ac:dyDescent="0.25">
      <c r="A16" s="7" t="s">
        <v>25</v>
      </c>
      <c r="B16" s="76">
        <v>263</v>
      </c>
      <c r="C16" s="30">
        <v>2.7784309999999999</v>
      </c>
    </row>
    <row r="17" spans="1:3" x14ac:dyDescent="0.25">
      <c r="A17" s="7" t="s">
        <v>29</v>
      </c>
      <c r="B17" s="76">
        <v>157</v>
      </c>
      <c r="C17" s="30">
        <v>3.0275300000000001</v>
      </c>
    </row>
    <row r="18" spans="1:3" x14ac:dyDescent="0.25">
      <c r="A18" s="7" t="s">
        <v>30</v>
      </c>
      <c r="B18" s="76">
        <v>119</v>
      </c>
      <c r="C18" s="30">
        <v>3.7102759999999999</v>
      </c>
    </row>
    <row r="19" spans="1:3" x14ac:dyDescent="0.25">
      <c r="A19" s="7" t="s">
        <v>32</v>
      </c>
      <c r="B19" s="76">
        <v>102</v>
      </c>
      <c r="C19" s="30">
        <v>1.13723</v>
      </c>
    </row>
    <row r="20" spans="1:3" x14ac:dyDescent="0.25">
      <c r="A20" s="7" t="s">
        <v>34</v>
      </c>
      <c r="B20" s="76">
        <v>291</v>
      </c>
      <c r="C20" s="30">
        <v>0.98101660000000002</v>
      </c>
    </row>
    <row r="21" spans="1:3" x14ac:dyDescent="0.25">
      <c r="A21" s="7" t="s">
        <v>35</v>
      </c>
      <c r="B21" s="76">
        <v>104</v>
      </c>
      <c r="C21" s="30">
        <v>2.0990530000000001</v>
      </c>
    </row>
    <row r="22" spans="1:3" x14ac:dyDescent="0.25">
      <c r="A22" s="7" t="s">
        <v>40</v>
      </c>
      <c r="B22" s="76">
        <v>206</v>
      </c>
      <c r="C22" s="30">
        <v>1.0631550000000001</v>
      </c>
    </row>
    <row r="23" spans="1:3" x14ac:dyDescent="0.25">
      <c r="A23" s="7" t="s">
        <v>513</v>
      </c>
      <c r="B23" s="76">
        <v>189</v>
      </c>
      <c r="C23" s="30">
        <v>3.1253950000000001</v>
      </c>
    </row>
    <row r="24" spans="1:3" x14ac:dyDescent="0.25">
      <c r="A24" s="7" t="s">
        <v>42</v>
      </c>
      <c r="B24" s="76">
        <v>127</v>
      </c>
      <c r="C24" s="30">
        <v>0.82623880000000005</v>
      </c>
    </row>
    <row r="25" spans="1:3" x14ac:dyDescent="0.25">
      <c r="A25" s="7" t="s">
        <v>44</v>
      </c>
      <c r="B25" s="76">
        <v>223</v>
      </c>
      <c r="C25" s="30">
        <v>1.4615340000000001</v>
      </c>
    </row>
    <row r="26" spans="1:3" x14ac:dyDescent="0.25">
      <c r="A26" s="7" t="s">
        <v>46</v>
      </c>
      <c r="B26" s="76">
        <v>134</v>
      </c>
      <c r="C26" s="30">
        <v>0</v>
      </c>
    </row>
    <row r="27" spans="1:3" x14ac:dyDescent="0.25">
      <c r="A27" s="7" t="s">
        <v>50</v>
      </c>
      <c r="B27" s="76">
        <v>112</v>
      </c>
      <c r="C27" s="30">
        <v>3.5766100000000001</v>
      </c>
    </row>
    <row r="28" spans="1:3" x14ac:dyDescent="0.25">
      <c r="A28" s="7" t="s">
        <v>52</v>
      </c>
      <c r="B28" s="76">
        <v>109</v>
      </c>
      <c r="C28" s="30">
        <v>1.863977</v>
      </c>
    </row>
    <row r="29" spans="1:3" x14ac:dyDescent="0.25">
      <c r="A29" s="7" t="s">
        <v>54</v>
      </c>
      <c r="B29" s="76">
        <v>154</v>
      </c>
      <c r="C29" s="30">
        <v>3.3486549999999999</v>
      </c>
    </row>
    <row r="30" spans="1:3" x14ac:dyDescent="0.25">
      <c r="A30" s="7" t="s">
        <v>56</v>
      </c>
      <c r="B30" s="76">
        <v>199</v>
      </c>
      <c r="C30" s="30">
        <v>1.1826019999999999</v>
      </c>
    </row>
    <row r="31" spans="1:3" x14ac:dyDescent="0.25">
      <c r="A31" s="7" t="s">
        <v>58</v>
      </c>
      <c r="B31" s="76">
        <v>248</v>
      </c>
      <c r="C31" s="30">
        <v>1.604722</v>
      </c>
    </row>
    <row r="32" spans="1:3" x14ac:dyDescent="0.25">
      <c r="A32" s="7" t="s">
        <v>60</v>
      </c>
      <c r="B32" s="76">
        <v>113</v>
      </c>
      <c r="C32" s="30">
        <v>0.86839049999999995</v>
      </c>
    </row>
    <row r="33" spans="1:3" x14ac:dyDescent="0.25">
      <c r="A33" s="7" t="s">
        <v>61</v>
      </c>
      <c r="B33" s="76">
        <v>118</v>
      </c>
      <c r="C33" s="30">
        <v>2.885599</v>
      </c>
    </row>
    <row r="34" spans="1:3" x14ac:dyDescent="0.25">
      <c r="A34" s="7" t="s">
        <v>65</v>
      </c>
      <c r="B34" s="76">
        <v>175</v>
      </c>
      <c r="C34" s="30">
        <v>4.7986709999999997</v>
      </c>
    </row>
    <row r="35" spans="1:3" x14ac:dyDescent="0.25">
      <c r="A35" s="7" t="s">
        <v>622</v>
      </c>
      <c r="B35" s="76">
        <v>261</v>
      </c>
      <c r="C35" s="30">
        <v>2.066576</v>
      </c>
    </row>
    <row r="36" spans="1:3" x14ac:dyDescent="0.25">
      <c r="A36" s="7" t="s">
        <v>69</v>
      </c>
      <c r="B36" s="76">
        <v>134</v>
      </c>
      <c r="C36" s="30">
        <v>2.6948050000000001</v>
      </c>
    </row>
    <row r="37" spans="1:3" x14ac:dyDescent="0.25">
      <c r="A37" s="7" t="s">
        <v>626</v>
      </c>
      <c r="B37" s="76">
        <v>114</v>
      </c>
      <c r="C37" s="30">
        <v>0.7603664</v>
      </c>
    </row>
    <row r="38" spans="1:3" x14ac:dyDescent="0.25">
      <c r="A38" s="7" t="s">
        <v>72</v>
      </c>
      <c r="B38" s="76">
        <v>97</v>
      </c>
      <c r="C38" s="30">
        <v>2.379556</v>
      </c>
    </row>
    <row r="39" spans="1:3" x14ac:dyDescent="0.25">
      <c r="A39" s="7" t="s">
        <v>74</v>
      </c>
      <c r="B39" s="76">
        <v>132</v>
      </c>
      <c r="C39" s="30">
        <v>0.75832889999999997</v>
      </c>
    </row>
    <row r="40" spans="1:3" x14ac:dyDescent="0.25">
      <c r="A40" s="7" t="s">
        <v>75</v>
      </c>
      <c r="B40" s="76">
        <v>24</v>
      </c>
      <c r="C40" s="30">
        <v>5.2279910000000003</v>
      </c>
    </row>
    <row r="41" spans="1:3" x14ac:dyDescent="0.25">
      <c r="A41" s="7" t="s">
        <v>83</v>
      </c>
      <c r="B41" s="76">
        <v>125</v>
      </c>
      <c r="C41" s="30">
        <v>3.7735240000000001</v>
      </c>
    </row>
    <row r="42" spans="1:3" x14ac:dyDescent="0.25">
      <c r="A42" s="7" t="s">
        <v>85</v>
      </c>
      <c r="B42" s="76">
        <v>149</v>
      </c>
      <c r="C42" s="30">
        <v>1.684312</v>
      </c>
    </row>
    <row r="43" spans="1:3" x14ac:dyDescent="0.25">
      <c r="A43" s="7" t="s">
        <v>87</v>
      </c>
      <c r="B43" s="76">
        <v>163</v>
      </c>
      <c r="C43" s="30">
        <v>1.6392610000000001</v>
      </c>
    </row>
    <row r="44" spans="1:3" x14ac:dyDescent="0.25">
      <c r="A44" s="7" t="s">
        <v>91</v>
      </c>
      <c r="B44" s="76">
        <v>244</v>
      </c>
      <c r="C44" s="30">
        <v>2.615135</v>
      </c>
    </row>
    <row r="45" spans="1:3" x14ac:dyDescent="0.25">
      <c r="A45" s="7" t="s">
        <v>93</v>
      </c>
      <c r="B45" s="76">
        <v>189</v>
      </c>
      <c r="C45" s="30">
        <v>1.1565780000000001</v>
      </c>
    </row>
    <row r="46" spans="1:3" x14ac:dyDescent="0.25">
      <c r="A46" s="7" t="s">
        <v>95</v>
      </c>
      <c r="B46" s="76">
        <v>74</v>
      </c>
      <c r="C46" s="30">
        <v>1.4702219999999999</v>
      </c>
    </row>
    <row r="47" spans="1:3" x14ac:dyDescent="0.25">
      <c r="A47" s="7" t="s">
        <v>96</v>
      </c>
      <c r="B47" s="76">
        <v>259</v>
      </c>
      <c r="C47" s="30">
        <v>2.6592030000000002</v>
      </c>
    </row>
    <row r="48" spans="1:3" x14ac:dyDescent="0.25">
      <c r="A48" s="7" t="s">
        <v>98</v>
      </c>
      <c r="B48" s="76">
        <v>137</v>
      </c>
      <c r="C48" s="30">
        <v>0.59422140000000001</v>
      </c>
    </row>
    <row r="49" spans="1:3" x14ac:dyDescent="0.25">
      <c r="A49" s="7" t="s">
        <v>100</v>
      </c>
      <c r="B49" s="76">
        <v>244</v>
      </c>
      <c r="C49" s="30">
        <v>3.1009150000000001</v>
      </c>
    </row>
    <row r="50" spans="1:3" x14ac:dyDescent="0.25">
      <c r="A50" s="7" t="s">
        <v>102</v>
      </c>
      <c r="B50" s="76">
        <v>152</v>
      </c>
      <c r="C50" s="30">
        <v>2.145562</v>
      </c>
    </row>
    <row r="51" spans="1:3" x14ac:dyDescent="0.25">
      <c r="A51" s="7" t="s">
        <v>106</v>
      </c>
      <c r="B51" s="76">
        <v>210</v>
      </c>
      <c r="C51" s="30">
        <v>5.0307769999999996</v>
      </c>
    </row>
    <row r="52" spans="1:3" x14ac:dyDescent="0.25">
      <c r="A52" s="7" t="s">
        <v>107</v>
      </c>
      <c r="B52" s="76">
        <v>141</v>
      </c>
      <c r="C52" s="30">
        <v>2.685619</v>
      </c>
    </row>
    <row r="53" spans="1:3" x14ac:dyDescent="0.25">
      <c r="A53" s="7" t="s">
        <v>109</v>
      </c>
      <c r="B53" s="76">
        <v>174</v>
      </c>
      <c r="C53" s="30">
        <v>0</v>
      </c>
    </row>
    <row r="54" spans="1:3" x14ac:dyDescent="0.25">
      <c r="A54" s="7" t="s">
        <v>111</v>
      </c>
      <c r="B54" s="76">
        <v>124</v>
      </c>
      <c r="C54" s="30">
        <v>3.5389409999999999</v>
      </c>
    </row>
    <row r="55" spans="1:3" x14ac:dyDescent="0.25">
      <c r="A55" s="7" t="s">
        <v>113</v>
      </c>
      <c r="B55" s="76">
        <v>106</v>
      </c>
      <c r="C55" s="30">
        <v>2.6332740000000001</v>
      </c>
    </row>
    <row r="56" spans="1:3" x14ac:dyDescent="0.25">
      <c r="A56" s="7" t="s">
        <v>115</v>
      </c>
      <c r="B56" s="76">
        <v>171</v>
      </c>
      <c r="C56" s="30">
        <v>1.724426</v>
      </c>
    </row>
    <row r="57" spans="1:3" x14ac:dyDescent="0.25">
      <c r="A57" s="7" t="s">
        <v>119</v>
      </c>
      <c r="B57" s="76">
        <v>174</v>
      </c>
      <c r="C57" s="30">
        <v>1.427495</v>
      </c>
    </row>
    <row r="58" spans="1:3" x14ac:dyDescent="0.25">
      <c r="A58" s="7" t="s">
        <v>123</v>
      </c>
      <c r="B58" s="76">
        <v>251</v>
      </c>
      <c r="C58" s="30">
        <v>1.4810449999999999</v>
      </c>
    </row>
    <row r="59" spans="1:3" x14ac:dyDescent="0.25">
      <c r="A59" s="7" t="s">
        <v>125</v>
      </c>
      <c r="B59" s="76">
        <v>141</v>
      </c>
      <c r="C59" s="30">
        <v>4.0935969999999999</v>
      </c>
    </row>
    <row r="60" spans="1:3" x14ac:dyDescent="0.25">
      <c r="A60" s="7" t="s">
        <v>127</v>
      </c>
      <c r="B60" s="76">
        <v>95</v>
      </c>
      <c r="C60" s="30">
        <v>4.8451500000000003</v>
      </c>
    </row>
    <row r="61" spans="1:3" x14ac:dyDescent="0.25">
      <c r="A61" s="7" t="s">
        <v>129</v>
      </c>
      <c r="B61" s="76">
        <v>150</v>
      </c>
      <c r="C61" s="30">
        <v>3.511037</v>
      </c>
    </row>
    <row r="62" spans="1:3" x14ac:dyDescent="0.25">
      <c r="A62" s="7" t="s">
        <v>525</v>
      </c>
      <c r="B62" s="76">
        <v>117</v>
      </c>
      <c r="C62" s="30">
        <v>3.186258</v>
      </c>
    </row>
    <row r="63" spans="1:3" x14ac:dyDescent="0.25">
      <c r="A63" s="7" t="s">
        <v>131</v>
      </c>
      <c r="B63" s="76">
        <v>79</v>
      </c>
      <c r="C63" s="30">
        <v>5.0290879999999998</v>
      </c>
    </row>
    <row r="64" spans="1:3" x14ac:dyDescent="0.25">
      <c r="A64" s="7" t="s">
        <v>133</v>
      </c>
      <c r="B64" s="76">
        <v>185</v>
      </c>
      <c r="C64" s="30">
        <v>0.69314759999999997</v>
      </c>
    </row>
    <row r="65" spans="1:3" x14ac:dyDescent="0.25">
      <c r="A65" s="7" t="s">
        <v>135</v>
      </c>
      <c r="B65" s="76">
        <v>77</v>
      </c>
      <c r="C65" s="30">
        <v>0</v>
      </c>
    </row>
    <row r="66" spans="1:3" x14ac:dyDescent="0.25">
      <c r="A66" s="7" t="s">
        <v>137</v>
      </c>
      <c r="B66" s="76">
        <v>90</v>
      </c>
      <c r="C66" s="30">
        <v>1.7063759999999999</v>
      </c>
    </row>
    <row r="67" spans="1:3" x14ac:dyDescent="0.25">
      <c r="A67" s="7" t="s">
        <v>139</v>
      </c>
      <c r="B67" s="76">
        <v>51</v>
      </c>
      <c r="C67" s="30">
        <v>1.893383</v>
      </c>
    </row>
    <row r="68" spans="1:3" x14ac:dyDescent="0.25">
      <c r="A68" s="7" t="s">
        <v>141</v>
      </c>
      <c r="B68" s="76">
        <v>118</v>
      </c>
      <c r="C68" s="30">
        <v>1.7711950000000001</v>
      </c>
    </row>
    <row r="69" spans="1:3" x14ac:dyDescent="0.25">
      <c r="A69" s="7" t="s">
        <v>143</v>
      </c>
      <c r="B69" s="76">
        <v>41</v>
      </c>
      <c r="C69" s="30">
        <v>3.050808</v>
      </c>
    </row>
    <row r="70" spans="1:3" x14ac:dyDescent="0.25">
      <c r="A70" s="7" t="s">
        <v>558</v>
      </c>
      <c r="B70" s="76">
        <v>31</v>
      </c>
      <c r="C70" s="30">
        <v>0</v>
      </c>
    </row>
    <row r="71" spans="1:3" x14ac:dyDescent="0.25">
      <c r="A71" s="7" t="s">
        <v>147</v>
      </c>
      <c r="B71" s="76">
        <v>341</v>
      </c>
      <c r="C71" s="30">
        <v>3.1522589999999999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topLeftCell="N1" zoomScaleNormal="100" workbookViewId="0">
      <selection activeCell="A8" sqref="A8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6" bestFit="1" customWidth="1"/>
    <col min="4" max="4" width="6.42578125" bestFit="1" customWidth="1"/>
    <col min="5" max="5" width="11.7109375" customWidth="1"/>
    <col min="6" max="6" width="11.42578125" customWidth="1"/>
    <col min="7" max="7" width="13" customWidth="1"/>
    <col min="8" max="11" width="11.42578125" customWidth="1"/>
    <col min="12" max="12" width="15.28515625" customWidth="1"/>
    <col min="13" max="13" width="17.140625" customWidth="1"/>
    <col min="14" max="14" width="13" customWidth="1"/>
    <col min="16" max="16" width="11.7109375" customWidth="1"/>
    <col min="17" max="17" width="12.140625" customWidth="1"/>
    <col min="18" max="18" width="11.28515625" customWidth="1"/>
    <col min="21" max="21" width="11.5703125" customWidth="1"/>
    <col min="28" max="28" width="17.85546875" customWidth="1"/>
    <col min="34" max="34" width="18" customWidth="1"/>
    <col min="35" max="35" width="17.5703125" customWidth="1"/>
    <col min="36" max="36" width="18.7109375" customWidth="1"/>
    <col min="37" max="37" width="18.28515625" customWidth="1"/>
  </cols>
  <sheetData>
    <row r="1" spans="1:40" x14ac:dyDescent="0.25">
      <c r="A1">
        <v>0</v>
      </c>
      <c r="B1" t="s">
        <v>318</v>
      </c>
      <c r="E1">
        <f t="shared" ref="E1:H5" si="0">QUARTILE(E$8:E$77,$A1)</f>
        <v>0</v>
      </c>
      <c r="F1">
        <f t="shared" si="0"/>
        <v>0</v>
      </c>
      <c r="G1">
        <f t="shared" si="0"/>
        <v>0.59259260000000002</v>
      </c>
      <c r="H1">
        <f t="shared" si="0"/>
        <v>0.1666667</v>
      </c>
    </row>
    <row r="2" spans="1:40" x14ac:dyDescent="0.25">
      <c r="A2">
        <v>1</v>
      </c>
      <c r="B2" t="s">
        <v>319</v>
      </c>
      <c r="E2">
        <f t="shared" si="0"/>
        <v>0.84813372500000006</v>
      </c>
      <c r="F2">
        <f t="shared" si="0"/>
        <v>0.97646097499999995</v>
      </c>
      <c r="G2">
        <f t="shared" si="0"/>
        <v>0.86885239999999997</v>
      </c>
      <c r="H2">
        <f t="shared" si="0"/>
        <v>0.8</v>
      </c>
    </row>
    <row r="3" spans="1:40" x14ac:dyDescent="0.25">
      <c r="A3">
        <v>2</v>
      </c>
      <c r="B3" t="s">
        <v>320</v>
      </c>
      <c r="E3">
        <f t="shared" si="0"/>
        <v>0.94868419999999998</v>
      </c>
      <c r="F3">
        <f t="shared" si="0"/>
        <v>1</v>
      </c>
      <c r="G3">
        <f t="shared" si="0"/>
        <v>0.95348829999999996</v>
      </c>
      <c r="H3">
        <f t="shared" si="0"/>
        <v>0.92307689999999998</v>
      </c>
    </row>
    <row r="4" spans="1:40" x14ac:dyDescent="0.25">
      <c r="A4">
        <v>3</v>
      </c>
      <c r="B4" t="s">
        <v>321</v>
      </c>
      <c r="E4">
        <f t="shared" si="0"/>
        <v>0.98397089999999998</v>
      </c>
      <c r="F4">
        <f t="shared" si="0"/>
        <v>1</v>
      </c>
      <c r="G4">
        <f t="shared" si="0"/>
        <v>1</v>
      </c>
      <c r="H4">
        <f t="shared" si="0"/>
        <v>1</v>
      </c>
    </row>
    <row r="5" spans="1:40" x14ac:dyDescent="0.25">
      <c r="A5">
        <v>4</v>
      </c>
      <c r="B5" t="s">
        <v>322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40" ht="90" x14ac:dyDescent="0.25">
      <c r="A7" s="5" t="s">
        <v>566</v>
      </c>
      <c r="B7" s="5" t="s">
        <v>149</v>
      </c>
      <c r="C7" s="5" t="s">
        <v>158</v>
      </c>
      <c r="D7" s="5" t="s">
        <v>159</v>
      </c>
      <c r="E7" s="5" t="s">
        <v>166</v>
      </c>
      <c r="F7" s="5" t="s">
        <v>160</v>
      </c>
      <c r="G7" s="5" t="s">
        <v>161</v>
      </c>
      <c r="H7" s="5" t="s">
        <v>162</v>
      </c>
      <c r="I7" s="5" t="s">
        <v>529</v>
      </c>
      <c r="J7" s="5" t="s">
        <v>530</v>
      </c>
      <c r="K7" s="5" t="s">
        <v>531</v>
      </c>
      <c r="L7" s="5" t="s">
        <v>165</v>
      </c>
      <c r="M7" s="5" t="s">
        <v>164</v>
      </c>
      <c r="N7" s="5" t="s">
        <v>598</v>
      </c>
      <c r="O7" s="5" t="s">
        <v>150</v>
      </c>
      <c r="P7" s="13" t="s">
        <v>323</v>
      </c>
      <c r="Q7" s="31" t="s">
        <v>324</v>
      </c>
      <c r="R7" s="31" t="s">
        <v>325</v>
      </c>
      <c r="S7" s="31" t="s">
        <v>326</v>
      </c>
      <c r="T7" s="31" t="s">
        <v>337</v>
      </c>
      <c r="U7" s="31" t="s">
        <v>345</v>
      </c>
      <c r="V7" s="24" t="s">
        <v>532</v>
      </c>
      <c r="W7" s="24" t="s">
        <v>530</v>
      </c>
      <c r="X7" s="24" t="s">
        <v>953</v>
      </c>
      <c r="Y7" s="24" t="s">
        <v>954</v>
      </c>
      <c r="Z7" s="24" t="s">
        <v>955</v>
      </c>
      <c r="AA7" s="24" t="s">
        <v>956</v>
      </c>
      <c r="AB7" s="5" t="s">
        <v>163</v>
      </c>
      <c r="AC7" s="24" t="s">
        <v>305</v>
      </c>
      <c r="AD7" s="24" t="s">
        <v>313</v>
      </c>
      <c r="AE7" s="24" t="s">
        <v>314</v>
      </c>
      <c r="AF7" s="24" t="s">
        <v>957</v>
      </c>
      <c r="AG7" s="24" t="s">
        <v>958</v>
      </c>
      <c r="AH7" s="5" t="s">
        <v>494</v>
      </c>
      <c r="AI7" s="5" t="s">
        <v>494</v>
      </c>
      <c r="AJ7" s="5" t="s">
        <v>959</v>
      </c>
      <c r="AK7" s="5" t="s">
        <v>960</v>
      </c>
      <c r="AL7" s="13" t="s">
        <v>962</v>
      </c>
      <c r="AM7" s="13" t="s">
        <v>961</v>
      </c>
      <c r="AN7" s="13" t="s">
        <v>1025</v>
      </c>
    </row>
    <row r="8" spans="1:40" x14ac:dyDescent="0.25">
      <c r="A8" s="7" t="s">
        <v>6</v>
      </c>
      <c r="B8" s="95" t="s">
        <v>7</v>
      </c>
      <c r="C8" s="7">
        <v>25</v>
      </c>
      <c r="D8" s="7">
        <v>11</v>
      </c>
      <c r="E8" s="111">
        <v>0.84</v>
      </c>
      <c r="F8" s="111">
        <v>0.92</v>
      </c>
      <c r="G8" s="111">
        <v>0.82608689999999996</v>
      </c>
      <c r="H8" s="111">
        <v>0.84</v>
      </c>
      <c r="I8" s="62">
        <f t="shared" ref="I8:I39" si="1">C8-D8</f>
        <v>14</v>
      </c>
      <c r="J8" s="111">
        <v>0.44</v>
      </c>
      <c r="K8" s="111">
        <v>0.56000000000000005</v>
      </c>
      <c r="L8" s="7" t="s">
        <v>221</v>
      </c>
      <c r="M8" s="7" t="s">
        <v>257</v>
      </c>
      <c r="N8" s="61">
        <v>2.640784</v>
      </c>
      <c r="O8" t="str">
        <f t="shared" ref="O8:O39" si="2">A8</f>
        <v>7A6</v>
      </c>
      <c r="P8" s="26">
        <f t="shared" ref="P8:P39" si="3">+IF(E8&lt;E$2,1,IF(E8&lt;E$3,2,IF(E8&lt;E$4,3,4)))</f>
        <v>1</v>
      </c>
      <c r="Q8" s="26">
        <f t="shared" ref="Q8:Q39" si="4">+IF(F8&lt;F$2,1,IF(F8&lt;F$3,2,IF(F8&lt;F$4,3,4)))</f>
        <v>1</v>
      </c>
      <c r="R8" s="26">
        <f t="shared" ref="R8:R39" si="5">+IF(G8&lt;G$2,1,IF(G8&lt;G$3,2,IF(G8&lt;G$4,3,4)))</f>
        <v>1</v>
      </c>
      <c r="S8" s="26">
        <f t="shared" ref="S8:S39" si="6">+IF(H8&lt;H$2,1,IF(H8&lt;H$3,2,IF(H8&lt;H$4,3,4)))</f>
        <v>2</v>
      </c>
      <c r="T8" s="46">
        <f>IF('AAA Summary'!$L$35=4, RANK(H8,H$8:H$81,1)+COUNTIF($H$8:H8,H8)-1, IF('AAA Summary'!$L$35=3, RANK(G8,G$8:G$81,1)+COUNTIF($G$8:G8,G8)-1, IF('AAA Summary'!$L$35=2, RANK(F8,F$8:F$81,1)+COUNTIF($F$8:F8,F8)-1, IF('AAA Summary'!$L$35=1, RANK(E8,E$8:E$81,1)+COUNTIF($E$8:E8,E8)-1))))</f>
        <v>16</v>
      </c>
      <c r="U8" s="34">
        <f>IF('AAA Summary'!$L$35=4, H8, IF('AAA Summary'!$L$35=3, G8, IF('AAA Summary'!$L$35=2, F8, IF('AAA Summary'!$L$35=1, E8))))</f>
        <v>0.84</v>
      </c>
      <c r="V8">
        <f t="shared" ref="V8:V39" si="7">RANK(J8,$J$8:$J$77)</f>
        <v>52</v>
      </c>
      <c r="W8" s="11">
        <f>J8*100</f>
        <v>44</v>
      </c>
      <c r="X8">
        <v>24.402370000000001</v>
      </c>
      <c r="Y8">
        <v>65.071840000000009</v>
      </c>
      <c r="Z8">
        <f>W8-X8</f>
        <v>19.597629999999999</v>
      </c>
      <c r="AA8">
        <f>Y8-X8</f>
        <v>40.669470000000004</v>
      </c>
      <c r="AB8" t="s">
        <v>963</v>
      </c>
      <c r="AC8">
        <v>89</v>
      </c>
      <c r="AD8">
        <v>45</v>
      </c>
      <c r="AE8">
        <v>161</v>
      </c>
      <c r="AF8">
        <f>AC8-AD8</f>
        <v>44</v>
      </c>
      <c r="AG8">
        <f>AE8-AC8</f>
        <v>72</v>
      </c>
      <c r="AH8" s="59">
        <v>0.38</v>
      </c>
      <c r="AI8">
        <v>38.095240000000004</v>
      </c>
      <c r="AJ8">
        <v>18.10716</v>
      </c>
      <c r="AK8">
        <v>61.56456</v>
      </c>
      <c r="AL8">
        <f>AI8-AJ8</f>
        <v>19.988080000000004</v>
      </c>
      <c r="AM8">
        <f>AK8-AI8</f>
        <v>23.469319999999996</v>
      </c>
      <c r="AN8">
        <v>34</v>
      </c>
    </row>
    <row r="9" spans="1:40" x14ac:dyDescent="0.25">
      <c r="A9" s="7" t="s">
        <v>35</v>
      </c>
      <c r="B9" s="95" t="s">
        <v>353</v>
      </c>
      <c r="C9" s="7">
        <v>18</v>
      </c>
      <c r="D9" s="7">
        <v>16</v>
      </c>
      <c r="E9" s="111">
        <v>0.94444439999999996</v>
      </c>
      <c r="F9" s="111">
        <v>1</v>
      </c>
      <c r="G9" s="111">
        <v>0.9375</v>
      </c>
      <c r="H9" s="111">
        <v>1</v>
      </c>
      <c r="I9" s="62">
        <f t="shared" si="1"/>
        <v>2</v>
      </c>
      <c r="J9" s="111">
        <v>0.88888888888888884</v>
      </c>
      <c r="K9" s="111">
        <v>0.1111111111111111</v>
      </c>
      <c r="L9" s="7" t="s">
        <v>241</v>
      </c>
      <c r="M9" s="7" t="s">
        <v>602</v>
      </c>
      <c r="N9" s="61">
        <v>5.1199409999999999</v>
      </c>
      <c r="O9" t="str">
        <f t="shared" si="2"/>
        <v>RF4</v>
      </c>
      <c r="P9" s="26">
        <f t="shared" si="3"/>
        <v>2</v>
      </c>
      <c r="Q9" s="26">
        <f t="shared" si="4"/>
        <v>4</v>
      </c>
      <c r="R9" s="26">
        <f t="shared" si="5"/>
        <v>2</v>
      </c>
      <c r="S9" s="26">
        <f t="shared" si="6"/>
        <v>4</v>
      </c>
      <c r="T9" s="46">
        <f>IF('AAA Summary'!$L$35=4, RANK(H9,H$8:H$81,1)+COUNTIF($H$8:H9,H9)-1, IF('AAA Summary'!$L$35=3, RANK(G9,G$8:G$81,1)+COUNTIF($G$8:G9,G9)-1, IF('AAA Summary'!$L$35=2, RANK(F9,F$8:F$81,1)+COUNTIF($F$8:F9,F9)-1, IF('AAA Summary'!$L$35=1, RANK(E9,E$8:E$81,1)+COUNTIF($E$8:E9,E9)-1))))</f>
        <v>33</v>
      </c>
      <c r="U9" s="34">
        <f>IF('AAA Summary'!$L$35=4, H9, IF('AAA Summary'!$L$35=3, G9, IF('AAA Summary'!$L$35=2, F9, IF('AAA Summary'!$L$35=1, E9))))</f>
        <v>0.94444439999999996</v>
      </c>
      <c r="V9">
        <f t="shared" si="7"/>
        <v>7</v>
      </c>
      <c r="W9" s="11">
        <f t="shared" ref="W9:W72" si="8">J9*100</f>
        <v>88.888888888888886</v>
      </c>
      <c r="X9">
        <v>65.287949999999995</v>
      </c>
      <c r="Y9">
        <v>98.624880000000005</v>
      </c>
      <c r="Z9">
        <f t="shared" ref="Z9:Z72" si="9">W9-X9</f>
        <v>23.600938888888891</v>
      </c>
      <c r="AA9">
        <f t="shared" ref="AA9:AA72" si="10">Y9-X9</f>
        <v>33.336930000000009</v>
      </c>
      <c r="AB9" t="s">
        <v>964</v>
      </c>
      <c r="AC9">
        <v>52</v>
      </c>
      <c r="AD9">
        <v>28</v>
      </c>
      <c r="AE9">
        <v>93</v>
      </c>
      <c r="AF9">
        <f t="shared" ref="AF9:AF72" si="11">AC9-AD9</f>
        <v>24</v>
      </c>
      <c r="AG9">
        <f t="shared" ref="AG9:AG72" si="12">AE9-AC9</f>
        <v>41</v>
      </c>
      <c r="AH9" s="59">
        <v>0.53</v>
      </c>
      <c r="AI9">
        <v>52.941179999999996</v>
      </c>
      <c r="AJ9">
        <v>27.811829999999997</v>
      </c>
      <c r="AK9">
        <v>77.016729999999995</v>
      </c>
      <c r="AL9">
        <f t="shared" ref="AL9:AL72" si="13">AI9-AJ9</f>
        <v>25.129349999999999</v>
      </c>
      <c r="AM9">
        <f t="shared" ref="AM9:AM72" si="14">AK9-AI9</f>
        <v>24.07555</v>
      </c>
      <c r="AN9">
        <v>4</v>
      </c>
    </row>
    <row r="10" spans="1:40" x14ac:dyDescent="0.25">
      <c r="A10" s="7" t="s">
        <v>10</v>
      </c>
      <c r="B10" s="95" t="s">
        <v>11</v>
      </c>
      <c r="C10" s="7">
        <v>4</v>
      </c>
      <c r="D10" s="7">
        <v>1</v>
      </c>
      <c r="E10" s="111">
        <v>1</v>
      </c>
      <c r="F10" s="111">
        <v>1</v>
      </c>
      <c r="G10" s="111">
        <v>1</v>
      </c>
      <c r="H10" s="111">
        <v>1</v>
      </c>
      <c r="I10" s="62">
        <f t="shared" si="1"/>
        <v>3</v>
      </c>
      <c r="J10" s="111">
        <v>0.25</v>
      </c>
      <c r="K10" s="111">
        <v>0.75</v>
      </c>
      <c r="L10" s="7" t="s">
        <v>602</v>
      </c>
      <c r="M10" s="7" t="s">
        <v>603</v>
      </c>
      <c r="N10" s="61">
        <v>0</v>
      </c>
      <c r="O10" t="str">
        <f t="shared" si="2"/>
        <v>R1H</v>
      </c>
      <c r="P10" s="26">
        <f t="shared" si="3"/>
        <v>4</v>
      </c>
      <c r="Q10" s="26">
        <f t="shared" si="4"/>
        <v>4</v>
      </c>
      <c r="R10" s="26">
        <f t="shared" si="5"/>
        <v>4</v>
      </c>
      <c r="S10" s="26">
        <f t="shared" si="6"/>
        <v>4</v>
      </c>
      <c r="T10" s="46">
        <f>IF('AAA Summary'!$L$35=4, RANK(H10,H$8:H$81,1)+COUNTIF($H$8:H10,H10)-1, IF('AAA Summary'!$L$35=3, RANK(G10,G$8:G$81,1)+COUNTIF($G$8:G10,G10)-1, IF('AAA Summary'!$L$35=2, RANK(F10,F$8:F$81,1)+COUNTIF($F$8:F10,F10)-1, IF('AAA Summary'!$L$35=1, RANK(E10,E$8:E$81,1)+COUNTIF($E$8:E10,E10)-1))))</f>
        <v>54</v>
      </c>
      <c r="U10" s="34">
        <f>IF('AAA Summary'!$L$35=4, H10, IF('AAA Summary'!$L$35=3, G10, IF('AAA Summary'!$L$35=2, F10, IF('AAA Summary'!$L$35=1, E10))))</f>
        <v>1</v>
      </c>
      <c r="V10">
        <f t="shared" si="7"/>
        <v>66</v>
      </c>
      <c r="W10" s="11">
        <f t="shared" si="8"/>
        <v>25</v>
      </c>
      <c r="X10" t="e">
        <v>#N/A</v>
      </c>
      <c r="Y10" t="e">
        <v>#N/A</v>
      </c>
      <c r="Z10" t="e">
        <f t="shared" si="9"/>
        <v>#N/A</v>
      </c>
      <c r="AA10" t="e">
        <f t="shared" si="10"/>
        <v>#N/A</v>
      </c>
      <c r="AB10" t="e">
        <v>#N/A</v>
      </c>
      <c r="AC10" t="e">
        <v>#N/A</v>
      </c>
      <c r="AD10" t="e">
        <v>#N/A</v>
      </c>
      <c r="AE10" t="e">
        <v>#N/A</v>
      </c>
      <c r="AF10" t="e">
        <f t="shared" si="11"/>
        <v>#N/A</v>
      </c>
      <c r="AG10" t="e">
        <f t="shared" si="12"/>
        <v>#N/A</v>
      </c>
      <c r="AH10" t="e">
        <v>#N/A</v>
      </c>
      <c r="AI10" t="e">
        <v>#N/A</v>
      </c>
      <c r="AJ10" t="e">
        <v>#N/A</v>
      </c>
      <c r="AK10" t="e">
        <v>#N/A</v>
      </c>
      <c r="AL10" t="e">
        <f t="shared" si="13"/>
        <v>#N/A</v>
      </c>
      <c r="AM10" t="e">
        <f t="shared" si="14"/>
        <v>#N/A</v>
      </c>
      <c r="AN10" t="e">
        <v>#N/A</v>
      </c>
    </row>
    <row r="11" spans="1:40" x14ac:dyDescent="0.25">
      <c r="A11" s="7" t="s">
        <v>610</v>
      </c>
      <c r="B11" s="95" t="s">
        <v>611</v>
      </c>
      <c r="C11" s="7">
        <v>51</v>
      </c>
      <c r="D11" s="7">
        <v>48</v>
      </c>
      <c r="E11" s="111">
        <v>1</v>
      </c>
      <c r="F11" s="111">
        <v>1</v>
      </c>
      <c r="G11" s="111">
        <v>1</v>
      </c>
      <c r="H11" s="111">
        <v>0.8823529</v>
      </c>
      <c r="I11" s="62">
        <f t="shared" si="1"/>
        <v>3</v>
      </c>
      <c r="J11" s="111">
        <v>0.94117647058823528</v>
      </c>
      <c r="K11" s="111">
        <v>5.8823529411764705E-2</v>
      </c>
      <c r="L11" s="7" t="s">
        <v>237</v>
      </c>
      <c r="M11" s="7" t="s">
        <v>612</v>
      </c>
      <c r="N11" s="61">
        <v>2.6406369999999999</v>
      </c>
      <c r="O11" t="str">
        <f t="shared" si="2"/>
        <v>RC9</v>
      </c>
      <c r="P11" s="26">
        <f t="shared" si="3"/>
        <v>4</v>
      </c>
      <c r="Q11" s="26">
        <f t="shared" si="4"/>
        <v>4</v>
      </c>
      <c r="R11" s="26">
        <f t="shared" si="5"/>
        <v>4</v>
      </c>
      <c r="S11" s="26">
        <f t="shared" si="6"/>
        <v>2</v>
      </c>
      <c r="T11" s="46">
        <f>IF('AAA Summary'!$L$35=4, RANK(H11,H$8:H$81,1)+COUNTIF($H$8:H11,H11)-1, IF('AAA Summary'!$L$35=3, RANK(G11,G$8:G$81,1)+COUNTIF($G$8:G11,G11)-1, IF('AAA Summary'!$L$35=2, RANK(F11,F$8:F$81,1)+COUNTIF($F$8:F11,F11)-1, IF('AAA Summary'!$L$35=1, RANK(E11,E$8:E$81,1)+COUNTIF($E$8:E11,E11)-1))))</f>
        <v>55</v>
      </c>
      <c r="U11" s="34">
        <f>IF('AAA Summary'!$L$35=4, H11, IF('AAA Summary'!$L$35=3, G11, IF('AAA Summary'!$L$35=2, F11, IF('AAA Summary'!$L$35=1, E11))))</f>
        <v>1</v>
      </c>
      <c r="V11">
        <f t="shared" si="7"/>
        <v>6</v>
      </c>
      <c r="W11" s="11">
        <f t="shared" si="8"/>
        <v>94.117647058823522</v>
      </c>
      <c r="X11">
        <v>83.757779999999997</v>
      </c>
      <c r="Y11">
        <v>98.770089999999996</v>
      </c>
      <c r="Z11">
        <f t="shared" si="9"/>
        <v>10.359867058823525</v>
      </c>
      <c r="AA11">
        <f t="shared" si="10"/>
        <v>15.012309999999999</v>
      </c>
      <c r="AB11" t="s">
        <v>965</v>
      </c>
      <c r="AC11">
        <v>72</v>
      </c>
      <c r="AD11">
        <v>33</v>
      </c>
      <c r="AE11">
        <v>170</v>
      </c>
      <c r="AF11">
        <f t="shared" si="11"/>
        <v>39</v>
      </c>
      <c r="AG11">
        <f t="shared" si="12"/>
        <v>98</v>
      </c>
      <c r="AH11" s="59">
        <v>0.41</v>
      </c>
      <c r="AI11">
        <v>41.176469999999995</v>
      </c>
      <c r="AJ11">
        <v>27.584299999999999</v>
      </c>
      <c r="AK11">
        <v>55.830719999999999</v>
      </c>
      <c r="AL11">
        <f t="shared" si="13"/>
        <v>13.592169999999996</v>
      </c>
      <c r="AM11">
        <f t="shared" si="14"/>
        <v>14.654250000000005</v>
      </c>
      <c r="AN11">
        <v>18</v>
      </c>
    </row>
    <row r="12" spans="1:40" x14ac:dyDescent="0.25">
      <c r="A12" s="7" t="s">
        <v>147</v>
      </c>
      <c r="B12" s="95" t="s">
        <v>148</v>
      </c>
      <c r="C12" s="7">
        <v>93</v>
      </c>
      <c r="D12" s="7">
        <v>46</v>
      </c>
      <c r="E12" s="111">
        <v>0.92473119999999998</v>
      </c>
      <c r="F12" s="111">
        <v>0.98924730000000005</v>
      </c>
      <c r="G12" s="111">
        <v>0.92307689999999998</v>
      </c>
      <c r="H12" s="111">
        <v>0.79569889999999999</v>
      </c>
      <c r="I12" s="62">
        <f t="shared" si="1"/>
        <v>47</v>
      </c>
      <c r="J12" s="111">
        <v>0.4946236559139785</v>
      </c>
      <c r="K12" s="111">
        <v>0.5053763440860215</v>
      </c>
      <c r="L12" s="7" t="s">
        <v>193</v>
      </c>
      <c r="M12" s="7" t="s">
        <v>279</v>
      </c>
      <c r="N12" s="61">
        <v>0.33602720000000003</v>
      </c>
      <c r="O12" t="str">
        <f t="shared" si="2"/>
        <v>ZT001</v>
      </c>
      <c r="P12" s="26">
        <f t="shared" si="3"/>
        <v>2</v>
      </c>
      <c r="Q12" s="26">
        <f t="shared" si="4"/>
        <v>2</v>
      </c>
      <c r="R12" s="26">
        <f t="shared" si="5"/>
        <v>2</v>
      </c>
      <c r="S12" s="26">
        <f t="shared" si="6"/>
        <v>1</v>
      </c>
      <c r="T12" s="46">
        <f>IF('AAA Summary'!$L$35=4, RANK(H12,H$8:H$81,1)+COUNTIF($H$8:H12,H12)-1, IF('AAA Summary'!$L$35=3, RANK(G12,G$8:G$81,1)+COUNTIF($G$8:G12,G12)-1, IF('AAA Summary'!$L$35=2, RANK(F12,F$8:F$81,1)+COUNTIF($F$8:F12,F12)-1, IF('AAA Summary'!$L$35=1, RANK(E12,E$8:E$81,1)+COUNTIF($E$8:E12,E12)-1))))</f>
        <v>30</v>
      </c>
      <c r="U12" s="34">
        <f>IF('AAA Summary'!$L$35=4, H12, IF('AAA Summary'!$L$35=3, G12, IF('AAA Summary'!$L$35=2, F12, IF('AAA Summary'!$L$35=1, E12))))</f>
        <v>0.92473119999999998</v>
      </c>
      <c r="V12">
        <f t="shared" si="7"/>
        <v>47</v>
      </c>
      <c r="W12" s="11">
        <f t="shared" si="8"/>
        <v>49.462365591397848</v>
      </c>
      <c r="X12">
        <v>38.928550000000001</v>
      </c>
      <c r="Y12">
        <v>60.031359999999999</v>
      </c>
      <c r="Z12">
        <f t="shared" si="9"/>
        <v>10.533815591397847</v>
      </c>
      <c r="AA12">
        <f t="shared" si="10"/>
        <v>21.102809999999998</v>
      </c>
      <c r="AB12" t="s">
        <v>966</v>
      </c>
      <c r="AC12">
        <v>127</v>
      </c>
      <c r="AD12">
        <v>75</v>
      </c>
      <c r="AE12">
        <v>184</v>
      </c>
      <c r="AF12">
        <f t="shared" si="11"/>
        <v>52</v>
      </c>
      <c r="AG12">
        <f t="shared" si="12"/>
        <v>57</v>
      </c>
      <c r="AH12" s="59">
        <v>0.16</v>
      </c>
      <c r="AI12">
        <v>16.279070000000001</v>
      </c>
      <c r="AJ12">
        <v>9.195689999999999</v>
      </c>
      <c r="AK12">
        <v>25.802609999999998</v>
      </c>
      <c r="AL12">
        <f t="shared" si="13"/>
        <v>7.0833800000000018</v>
      </c>
      <c r="AM12">
        <f t="shared" si="14"/>
        <v>9.523539999999997</v>
      </c>
      <c r="AN12">
        <v>51</v>
      </c>
    </row>
    <row r="13" spans="1:40" x14ac:dyDescent="0.25">
      <c r="A13" s="7" t="s">
        <v>0</v>
      </c>
      <c r="B13" s="95" t="s">
        <v>1</v>
      </c>
      <c r="C13" s="7">
        <v>44</v>
      </c>
      <c r="D13" s="7">
        <v>37</v>
      </c>
      <c r="E13" s="111">
        <v>0.97727269999999999</v>
      </c>
      <c r="F13" s="111">
        <v>1</v>
      </c>
      <c r="G13" s="111">
        <v>0.9736842</v>
      </c>
      <c r="H13" s="111">
        <v>0.95454539999999999</v>
      </c>
      <c r="I13" s="62">
        <f t="shared" si="1"/>
        <v>7</v>
      </c>
      <c r="J13" s="111">
        <v>0.84090909090909094</v>
      </c>
      <c r="K13" s="111">
        <v>0.15909090909090909</v>
      </c>
      <c r="L13" s="7" t="s">
        <v>252</v>
      </c>
      <c r="M13" s="7" t="s">
        <v>473</v>
      </c>
      <c r="N13" s="61">
        <v>4.4191940000000001</v>
      </c>
      <c r="O13" t="str">
        <f t="shared" si="2"/>
        <v>7A1</v>
      </c>
      <c r="P13" s="26">
        <f t="shared" si="3"/>
        <v>3</v>
      </c>
      <c r="Q13" s="26">
        <f t="shared" si="4"/>
        <v>4</v>
      </c>
      <c r="R13" s="26">
        <f t="shared" si="5"/>
        <v>3</v>
      </c>
      <c r="S13" s="26">
        <f t="shared" si="6"/>
        <v>3</v>
      </c>
      <c r="T13" s="46">
        <f>IF('AAA Summary'!$L$35=4, RANK(H13,H$8:H$81,1)+COUNTIF($H$8:H13,H13)-1, IF('AAA Summary'!$L$35=3, RANK(G13,G$8:G$81,1)+COUNTIF($G$8:G13,G13)-1, IF('AAA Summary'!$L$35=2, RANK(F13,F$8:F$81,1)+COUNTIF($F$8:F13,F13)-1, IF('AAA Summary'!$L$35=1, RANK(E13,E$8:E$81,1)+COUNTIF($E$8:E13,E13)-1))))</f>
        <v>50</v>
      </c>
      <c r="U13" s="34">
        <f>IF('AAA Summary'!$L$35=4, H13, IF('AAA Summary'!$L$35=3, G13, IF('AAA Summary'!$L$35=2, F13, IF('AAA Summary'!$L$35=1, E13))))</f>
        <v>0.97727269999999999</v>
      </c>
      <c r="V13">
        <f t="shared" si="7"/>
        <v>10</v>
      </c>
      <c r="W13" s="11">
        <f t="shared" si="8"/>
        <v>84.090909090909093</v>
      </c>
      <c r="X13">
        <v>69.93468</v>
      </c>
      <c r="Y13">
        <v>93.35566</v>
      </c>
      <c r="Z13">
        <f t="shared" si="9"/>
        <v>14.156229090909093</v>
      </c>
      <c r="AA13">
        <f t="shared" si="10"/>
        <v>23.42098</v>
      </c>
      <c r="AB13" t="s">
        <v>967</v>
      </c>
      <c r="AC13">
        <v>100</v>
      </c>
      <c r="AD13">
        <v>55</v>
      </c>
      <c r="AE13">
        <v>151</v>
      </c>
      <c r="AF13">
        <f t="shared" si="11"/>
        <v>45</v>
      </c>
      <c r="AG13">
        <f t="shared" si="12"/>
        <v>51</v>
      </c>
      <c r="AH13" s="59">
        <v>0.26</v>
      </c>
      <c r="AI13">
        <v>25.581399999999999</v>
      </c>
      <c r="AJ13">
        <v>13.518599999999999</v>
      </c>
      <c r="AK13">
        <v>41.171570000000003</v>
      </c>
      <c r="AL13">
        <f t="shared" si="13"/>
        <v>12.062799999999999</v>
      </c>
      <c r="AM13">
        <f t="shared" si="14"/>
        <v>15.590170000000004</v>
      </c>
      <c r="AN13">
        <v>40</v>
      </c>
    </row>
    <row r="14" spans="1:40" x14ac:dyDescent="0.25">
      <c r="A14" s="7" t="s">
        <v>15</v>
      </c>
      <c r="B14" s="95" t="s">
        <v>16</v>
      </c>
      <c r="C14" s="7">
        <v>35</v>
      </c>
      <c r="D14" s="7">
        <v>21</v>
      </c>
      <c r="E14" s="111">
        <v>1</v>
      </c>
      <c r="F14" s="111">
        <v>0.97142859999999998</v>
      </c>
      <c r="G14" s="111">
        <v>1</v>
      </c>
      <c r="H14" s="111">
        <v>0.97142859999999998</v>
      </c>
      <c r="I14" s="62">
        <f t="shared" si="1"/>
        <v>14</v>
      </c>
      <c r="J14" s="111">
        <v>0.6</v>
      </c>
      <c r="K14" s="111">
        <v>0.4</v>
      </c>
      <c r="L14" s="7" t="s">
        <v>227</v>
      </c>
      <c r="M14" s="7" t="s">
        <v>606</v>
      </c>
      <c r="N14" s="61">
        <v>0</v>
      </c>
      <c r="O14" t="str">
        <f t="shared" si="2"/>
        <v>RAE</v>
      </c>
      <c r="P14" s="26">
        <f t="shared" si="3"/>
        <v>4</v>
      </c>
      <c r="Q14" s="26">
        <f t="shared" si="4"/>
        <v>1</v>
      </c>
      <c r="R14" s="26">
        <f t="shared" si="5"/>
        <v>4</v>
      </c>
      <c r="S14" s="26">
        <f t="shared" si="6"/>
        <v>3</v>
      </c>
      <c r="T14" s="46">
        <f>IF('AAA Summary'!$L$35=4, RANK(H14,H$8:H$81,1)+COUNTIF($H$8:H14,H14)-1, IF('AAA Summary'!$L$35=3, RANK(G14,G$8:G$81,1)+COUNTIF($G$8:G14,G14)-1, IF('AAA Summary'!$L$35=2, RANK(F14,F$8:F$81,1)+COUNTIF($F$8:F14,F14)-1, IF('AAA Summary'!$L$35=1, RANK(E14,E$8:E$81,1)+COUNTIF($E$8:E14,E14)-1))))</f>
        <v>56</v>
      </c>
      <c r="U14" s="34">
        <f>IF('AAA Summary'!$L$35=4, H14, IF('AAA Summary'!$L$35=3, G14, IF('AAA Summary'!$L$35=2, F14, IF('AAA Summary'!$L$35=1, E14))))</f>
        <v>1</v>
      </c>
      <c r="V14">
        <f t="shared" si="7"/>
        <v>31</v>
      </c>
      <c r="W14" s="11">
        <f t="shared" si="8"/>
        <v>60</v>
      </c>
      <c r="X14">
        <v>42.11177</v>
      </c>
      <c r="Y14">
        <v>76.129190000000008</v>
      </c>
      <c r="Z14">
        <f t="shared" si="9"/>
        <v>17.88823</v>
      </c>
      <c r="AA14">
        <f t="shared" si="10"/>
        <v>34.017420000000008</v>
      </c>
      <c r="AB14" t="s">
        <v>968</v>
      </c>
      <c r="AC14">
        <v>68</v>
      </c>
      <c r="AD14">
        <v>43</v>
      </c>
      <c r="AE14">
        <v>127</v>
      </c>
      <c r="AF14">
        <f t="shared" si="11"/>
        <v>25</v>
      </c>
      <c r="AG14">
        <f t="shared" si="12"/>
        <v>59</v>
      </c>
      <c r="AH14" s="59">
        <v>0.37</v>
      </c>
      <c r="AI14">
        <v>37.142859999999999</v>
      </c>
      <c r="AJ14">
        <v>21.473210000000002</v>
      </c>
      <c r="AK14">
        <v>55.076889999999999</v>
      </c>
      <c r="AL14">
        <f t="shared" si="13"/>
        <v>15.669649999999997</v>
      </c>
      <c r="AM14">
        <f t="shared" si="14"/>
        <v>17.93403</v>
      </c>
      <c r="AN14">
        <v>14</v>
      </c>
    </row>
    <row r="15" spans="1:40" x14ac:dyDescent="0.25">
      <c r="A15" s="7" t="s">
        <v>40</v>
      </c>
      <c r="B15" s="95" t="s">
        <v>41</v>
      </c>
      <c r="C15" s="7">
        <v>72</v>
      </c>
      <c r="D15" s="7">
        <v>28</v>
      </c>
      <c r="E15" s="111">
        <v>0.76388889999999998</v>
      </c>
      <c r="F15" s="111">
        <v>1</v>
      </c>
      <c r="G15" s="111">
        <v>0.76119409999999998</v>
      </c>
      <c r="H15" s="111">
        <v>0.91666669999999995</v>
      </c>
      <c r="I15" s="62">
        <f t="shared" si="1"/>
        <v>44</v>
      </c>
      <c r="J15" s="111">
        <v>0.3888888888888889</v>
      </c>
      <c r="K15" s="111">
        <v>0.61111111111111116</v>
      </c>
      <c r="L15" s="7" t="s">
        <v>241</v>
      </c>
      <c r="M15" s="7" t="s">
        <v>239</v>
      </c>
      <c r="N15" s="61">
        <v>0</v>
      </c>
      <c r="O15" t="str">
        <f t="shared" si="2"/>
        <v>RGT</v>
      </c>
      <c r="P15" s="26">
        <f t="shared" si="3"/>
        <v>1</v>
      </c>
      <c r="Q15" s="26">
        <f t="shared" si="4"/>
        <v>4</v>
      </c>
      <c r="R15" s="26">
        <f t="shared" si="5"/>
        <v>1</v>
      </c>
      <c r="S15" s="26">
        <f t="shared" si="6"/>
        <v>2</v>
      </c>
      <c r="T15" s="46">
        <f>IF('AAA Summary'!$L$35=4, RANK(H15,H$8:H$81,1)+COUNTIF($H$8:H15,H15)-1, IF('AAA Summary'!$L$35=3, RANK(G15,G$8:G$81,1)+COUNTIF($G$8:G15,G15)-1, IF('AAA Summary'!$L$35=2, RANK(F15,F$8:F$81,1)+COUNTIF($F$8:F15,F15)-1, IF('AAA Summary'!$L$35=1, RANK(E15,E$8:E$81,1)+COUNTIF($E$8:E15,E15)-1))))</f>
        <v>8</v>
      </c>
      <c r="U15" s="34">
        <f>IF('AAA Summary'!$L$35=4, H15, IF('AAA Summary'!$L$35=3, G15, IF('AAA Summary'!$L$35=2, F15, IF('AAA Summary'!$L$35=1, E15))))</f>
        <v>0.76388889999999998</v>
      </c>
      <c r="V15">
        <f t="shared" si="7"/>
        <v>59</v>
      </c>
      <c r="W15" s="11">
        <f t="shared" si="8"/>
        <v>38.888888888888893</v>
      </c>
      <c r="X15">
        <v>27.615469999999998</v>
      </c>
      <c r="Y15">
        <v>51.106300000000005</v>
      </c>
      <c r="Z15">
        <f t="shared" si="9"/>
        <v>11.273418888888894</v>
      </c>
      <c r="AA15">
        <f t="shared" si="10"/>
        <v>23.490830000000006</v>
      </c>
      <c r="AB15" t="s">
        <v>969</v>
      </c>
      <c r="AC15">
        <v>126</v>
      </c>
      <c r="AD15">
        <v>72</v>
      </c>
      <c r="AE15">
        <v>194</v>
      </c>
      <c r="AF15">
        <f t="shared" si="11"/>
        <v>54</v>
      </c>
      <c r="AG15">
        <f t="shared" si="12"/>
        <v>68</v>
      </c>
      <c r="AH15" s="59">
        <v>0.15</v>
      </c>
      <c r="AI15">
        <v>14.545449999999999</v>
      </c>
      <c r="AJ15">
        <v>6.495140000000001</v>
      </c>
      <c r="AK15">
        <v>26.663229999999999</v>
      </c>
      <c r="AL15">
        <f t="shared" si="13"/>
        <v>8.0503099999999979</v>
      </c>
      <c r="AM15">
        <f t="shared" si="14"/>
        <v>12.11778</v>
      </c>
      <c r="AN15">
        <v>50</v>
      </c>
    </row>
    <row r="16" spans="1:40" x14ac:dyDescent="0.25">
      <c r="A16" s="7" t="s">
        <v>3</v>
      </c>
      <c r="B16" s="95" t="s">
        <v>4</v>
      </c>
      <c r="C16" s="7">
        <v>13</v>
      </c>
      <c r="D16" s="7">
        <v>6</v>
      </c>
      <c r="E16" s="111">
        <v>1</v>
      </c>
      <c r="F16" s="111">
        <v>1</v>
      </c>
      <c r="G16" s="111">
        <v>1</v>
      </c>
      <c r="H16" s="111">
        <v>0.92307689999999998</v>
      </c>
      <c r="I16" s="62">
        <f t="shared" si="1"/>
        <v>7</v>
      </c>
      <c r="J16" s="111">
        <v>0.46153846153846156</v>
      </c>
      <c r="K16" s="111">
        <v>0.53846153846153844</v>
      </c>
      <c r="L16" s="7" t="s">
        <v>375</v>
      </c>
      <c r="M16" s="7" t="s">
        <v>327</v>
      </c>
      <c r="N16" s="61">
        <v>2.3157890000000001</v>
      </c>
      <c r="O16" t="str">
        <f t="shared" si="2"/>
        <v>7A4</v>
      </c>
      <c r="P16" s="26">
        <f t="shared" si="3"/>
        <v>4</v>
      </c>
      <c r="Q16" s="26">
        <f t="shared" si="4"/>
        <v>4</v>
      </c>
      <c r="R16" s="26">
        <f t="shared" si="5"/>
        <v>4</v>
      </c>
      <c r="S16" s="26">
        <f t="shared" si="6"/>
        <v>3</v>
      </c>
      <c r="T16" s="46">
        <f>IF('AAA Summary'!$L$35=4, RANK(H16,H$8:H$81,1)+COUNTIF($H$8:H16,H16)-1, IF('AAA Summary'!$L$35=3, RANK(G16,G$8:G$81,1)+COUNTIF($G$8:G16,G16)-1, IF('AAA Summary'!$L$35=2, RANK(F16,F$8:F$81,1)+COUNTIF($F$8:F16,F16)-1, IF('AAA Summary'!$L$35=1, RANK(E16,E$8:E$81,1)+COUNTIF($E$8:E16,E16)-1))))</f>
        <v>57</v>
      </c>
      <c r="U16" s="34">
        <f>IF('AAA Summary'!$L$35=4, H16, IF('AAA Summary'!$L$35=3, G16, IF('AAA Summary'!$L$35=2, F16, IF('AAA Summary'!$L$35=1, E16))))</f>
        <v>1</v>
      </c>
      <c r="V16">
        <f t="shared" si="7"/>
        <v>51</v>
      </c>
      <c r="W16" s="11">
        <f t="shared" si="8"/>
        <v>46.153846153846153</v>
      </c>
      <c r="X16">
        <v>19.223240000000001</v>
      </c>
      <c r="Y16">
        <v>74.865449999999996</v>
      </c>
      <c r="Z16">
        <f t="shared" si="9"/>
        <v>26.930606153846153</v>
      </c>
      <c r="AA16">
        <f t="shared" si="10"/>
        <v>55.642209999999992</v>
      </c>
      <c r="AB16" t="s">
        <v>970</v>
      </c>
      <c r="AC16">
        <v>68</v>
      </c>
      <c r="AD16">
        <v>30</v>
      </c>
      <c r="AE16">
        <v>98</v>
      </c>
      <c r="AF16">
        <f t="shared" si="11"/>
        <v>38</v>
      </c>
      <c r="AG16">
        <f t="shared" si="12"/>
        <v>30</v>
      </c>
      <c r="AH16" s="59">
        <v>0.46</v>
      </c>
      <c r="AI16">
        <v>46.153849999999998</v>
      </c>
      <c r="AJ16">
        <v>19.223240000000001</v>
      </c>
      <c r="AK16">
        <v>74.865449999999996</v>
      </c>
      <c r="AL16">
        <f t="shared" si="13"/>
        <v>26.930609999999998</v>
      </c>
      <c r="AM16">
        <f t="shared" si="14"/>
        <v>28.711599999999997</v>
      </c>
      <c r="AN16">
        <v>13</v>
      </c>
    </row>
    <row r="17" spans="1:40" x14ac:dyDescent="0.25">
      <c r="A17" s="7" t="s">
        <v>56</v>
      </c>
      <c r="B17" s="95" t="s">
        <v>57</v>
      </c>
      <c r="C17" s="7">
        <v>45</v>
      </c>
      <c r="D17" s="7">
        <v>39</v>
      </c>
      <c r="E17" s="111">
        <v>0.95555559999999995</v>
      </c>
      <c r="F17" s="111">
        <v>1</v>
      </c>
      <c r="G17" s="111">
        <v>0.97560979999999997</v>
      </c>
      <c r="H17" s="111">
        <v>0.8</v>
      </c>
      <c r="I17" s="62">
        <f t="shared" si="1"/>
        <v>6</v>
      </c>
      <c r="J17" s="111">
        <v>0.8666666666666667</v>
      </c>
      <c r="K17" s="111">
        <v>0.13333333333333333</v>
      </c>
      <c r="L17" s="7" t="s">
        <v>237</v>
      </c>
      <c r="M17" s="7" t="s">
        <v>618</v>
      </c>
      <c r="N17" s="61">
        <v>2.3570229999999999</v>
      </c>
      <c r="O17" t="str">
        <f t="shared" si="2"/>
        <v>RJR</v>
      </c>
      <c r="P17" s="26">
        <f t="shared" si="3"/>
        <v>3</v>
      </c>
      <c r="Q17" s="26">
        <f t="shared" si="4"/>
        <v>4</v>
      </c>
      <c r="R17" s="26">
        <f t="shared" si="5"/>
        <v>3</v>
      </c>
      <c r="S17" s="26">
        <f t="shared" si="6"/>
        <v>2</v>
      </c>
      <c r="T17" s="46">
        <f>IF('AAA Summary'!$L$35=4, RANK(H17,H$8:H$81,1)+COUNTIF($H$8:H17,H17)-1, IF('AAA Summary'!$L$35=3, RANK(G17,G$8:G$81,1)+COUNTIF($G$8:G17,G17)-1, IF('AAA Summary'!$L$35=2, RANK(F17,F$8:F$81,1)+COUNTIF($F$8:F17,F17)-1, IF('AAA Summary'!$L$35=1, RANK(E17,E$8:E$81,1)+COUNTIF($E$8:E17,E17)-1))))</f>
        <v>40</v>
      </c>
      <c r="U17" s="34">
        <f>IF('AAA Summary'!$L$35=4, H17, IF('AAA Summary'!$L$35=3, G17, IF('AAA Summary'!$L$35=2, F17, IF('AAA Summary'!$L$35=1, E17))))</f>
        <v>0.95555559999999995</v>
      </c>
      <c r="V17">
        <f t="shared" si="7"/>
        <v>9</v>
      </c>
      <c r="W17" s="11">
        <f t="shared" si="8"/>
        <v>86.666666666666671</v>
      </c>
      <c r="X17">
        <v>73.20750000000001</v>
      </c>
      <c r="Y17">
        <v>94.945760000000007</v>
      </c>
      <c r="Z17">
        <f t="shared" si="9"/>
        <v>13.459166666666661</v>
      </c>
      <c r="AA17">
        <f t="shared" si="10"/>
        <v>21.738259999999997</v>
      </c>
      <c r="AB17" t="s">
        <v>971</v>
      </c>
      <c r="AC17">
        <v>75</v>
      </c>
      <c r="AD17">
        <v>38</v>
      </c>
      <c r="AE17">
        <v>106</v>
      </c>
      <c r="AF17">
        <f t="shared" si="11"/>
        <v>37</v>
      </c>
      <c r="AG17">
        <f t="shared" si="12"/>
        <v>31</v>
      </c>
      <c r="AH17" s="59">
        <v>0.3</v>
      </c>
      <c r="AI17">
        <v>30.232560000000003</v>
      </c>
      <c r="AJ17">
        <v>17.182500000000001</v>
      </c>
      <c r="AK17">
        <v>46.125329999999998</v>
      </c>
      <c r="AL17">
        <f t="shared" si="13"/>
        <v>13.050060000000002</v>
      </c>
      <c r="AM17">
        <f t="shared" si="14"/>
        <v>15.892769999999995</v>
      </c>
      <c r="AN17">
        <v>20</v>
      </c>
    </row>
    <row r="18" spans="1:40" x14ac:dyDescent="0.25">
      <c r="A18" s="7" t="s">
        <v>74</v>
      </c>
      <c r="B18" s="95" t="s">
        <v>355</v>
      </c>
      <c r="C18" s="7">
        <v>22</v>
      </c>
      <c r="D18" s="7">
        <v>13</v>
      </c>
      <c r="E18" s="111">
        <v>0.77272730000000001</v>
      </c>
      <c r="F18" s="111">
        <v>0.95454539999999999</v>
      </c>
      <c r="G18" s="111">
        <v>0.77272730000000001</v>
      </c>
      <c r="H18" s="111">
        <v>0.72727269999999999</v>
      </c>
      <c r="I18" s="62">
        <f t="shared" si="1"/>
        <v>9</v>
      </c>
      <c r="J18" s="111">
        <v>0.59090909090909094</v>
      </c>
      <c r="K18" s="111">
        <v>0.40909090909090912</v>
      </c>
      <c r="L18" s="7" t="s">
        <v>237</v>
      </c>
      <c r="M18" s="7" t="s">
        <v>262</v>
      </c>
      <c r="N18" s="61">
        <v>0</v>
      </c>
      <c r="O18" t="str">
        <f t="shared" si="2"/>
        <v>RP5</v>
      </c>
      <c r="P18" s="26">
        <f t="shared" si="3"/>
        <v>1</v>
      </c>
      <c r="Q18" s="26">
        <f t="shared" si="4"/>
        <v>1</v>
      </c>
      <c r="R18" s="26">
        <f t="shared" si="5"/>
        <v>1</v>
      </c>
      <c r="S18" s="26">
        <f t="shared" si="6"/>
        <v>1</v>
      </c>
      <c r="T18" s="46">
        <f>IF('AAA Summary'!$L$35=4, RANK(H18,H$8:H$81,1)+COUNTIF($H$8:H18,H18)-1, IF('AAA Summary'!$L$35=3, RANK(G18,G$8:G$81,1)+COUNTIF($G$8:G18,G18)-1, IF('AAA Summary'!$L$35=2, RANK(F18,F$8:F$81,1)+COUNTIF($F$8:F18,F18)-1, IF('AAA Summary'!$L$35=1, RANK(E18,E$8:E$81,1)+COUNTIF($E$8:E18,E18)-1))))</f>
        <v>9</v>
      </c>
      <c r="U18" s="34">
        <f>IF('AAA Summary'!$L$35=4, H18, IF('AAA Summary'!$L$35=3, G18, IF('AAA Summary'!$L$35=2, F18, IF('AAA Summary'!$L$35=1, E18))))</f>
        <v>0.77272730000000001</v>
      </c>
      <c r="V18">
        <f t="shared" si="7"/>
        <v>34</v>
      </c>
      <c r="W18" s="11">
        <f t="shared" si="8"/>
        <v>59.090909090909093</v>
      </c>
      <c r="X18">
        <v>36.354700000000001</v>
      </c>
      <c r="Y18">
        <v>79.290689999999998</v>
      </c>
      <c r="Z18">
        <f t="shared" si="9"/>
        <v>22.736209090909092</v>
      </c>
      <c r="AA18">
        <f t="shared" si="10"/>
        <v>42.935989999999997</v>
      </c>
      <c r="AB18" t="s">
        <v>972</v>
      </c>
      <c r="AC18">
        <v>134</v>
      </c>
      <c r="AD18">
        <v>100</v>
      </c>
      <c r="AE18">
        <v>204</v>
      </c>
      <c r="AF18">
        <f t="shared" si="11"/>
        <v>34</v>
      </c>
      <c r="AG18">
        <f t="shared" si="12"/>
        <v>70</v>
      </c>
      <c r="AH18" s="59">
        <v>0.24</v>
      </c>
      <c r="AI18">
        <v>23.529410000000002</v>
      </c>
      <c r="AJ18">
        <v>6.8107699999999998</v>
      </c>
      <c r="AK18">
        <v>49.899329999999999</v>
      </c>
      <c r="AL18">
        <f t="shared" si="13"/>
        <v>16.718640000000001</v>
      </c>
      <c r="AM18">
        <f t="shared" si="14"/>
        <v>26.369919999999997</v>
      </c>
      <c r="AN18">
        <v>53</v>
      </c>
    </row>
    <row r="19" spans="1:40" x14ac:dyDescent="0.25">
      <c r="A19" s="7" t="s">
        <v>113</v>
      </c>
      <c r="B19" s="95" t="s">
        <v>114</v>
      </c>
      <c r="C19" s="7">
        <v>15</v>
      </c>
      <c r="D19" s="7">
        <v>12</v>
      </c>
      <c r="E19" s="111">
        <v>0.93333330000000003</v>
      </c>
      <c r="F19" s="111">
        <v>1</v>
      </c>
      <c r="G19" s="111">
        <v>0.91666669999999995</v>
      </c>
      <c r="H19" s="111">
        <v>0.8</v>
      </c>
      <c r="I19" s="62">
        <f t="shared" si="1"/>
        <v>3</v>
      </c>
      <c r="J19" s="111">
        <v>0.8</v>
      </c>
      <c r="K19" s="111">
        <v>0.2</v>
      </c>
      <c r="L19" s="7" t="s">
        <v>183</v>
      </c>
      <c r="M19" s="7" t="s">
        <v>546</v>
      </c>
      <c r="N19" s="61">
        <v>0</v>
      </c>
      <c r="O19" t="str">
        <f t="shared" si="2"/>
        <v>RWH</v>
      </c>
      <c r="P19" s="26">
        <f t="shared" si="3"/>
        <v>2</v>
      </c>
      <c r="Q19" s="26">
        <f t="shared" si="4"/>
        <v>4</v>
      </c>
      <c r="R19" s="26">
        <f t="shared" si="5"/>
        <v>2</v>
      </c>
      <c r="S19" s="26">
        <f t="shared" si="6"/>
        <v>2</v>
      </c>
      <c r="T19" s="46">
        <f>IF('AAA Summary'!$L$35=4, RANK(H19,H$8:H$81,1)+COUNTIF($H$8:H19,H19)-1, IF('AAA Summary'!$L$35=3, RANK(G19,G$8:G$81,1)+COUNTIF($G$8:G19,G19)-1, IF('AAA Summary'!$L$35=2, RANK(F19,F$8:F$81,1)+COUNTIF($F$8:F19,F19)-1, IF('AAA Summary'!$L$35=1, RANK(E19,E$8:E$81,1)+COUNTIF($E$8:E19,E19)-1))))</f>
        <v>32</v>
      </c>
      <c r="U19" s="34">
        <f>IF('AAA Summary'!$L$35=4, H19, IF('AAA Summary'!$L$35=3, G19, IF('AAA Summary'!$L$35=2, F19, IF('AAA Summary'!$L$35=1, E19))))</f>
        <v>0.93333330000000003</v>
      </c>
      <c r="V19">
        <f t="shared" si="7"/>
        <v>12</v>
      </c>
      <c r="W19" s="11">
        <f t="shared" si="8"/>
        <v>80</v>
      </c>
      <c r="X19">
        <v>51.910889999999995</v>
      </c>
      <c r="Y19">
        <v>95.668800000000005</v>
      </c>
      <c r="Z19">
        <f t="shared" si="9"/>
        <v>28.089110000000005</v>
      </c>
      <c r="AA19">
        <f t="shared" si="10"/>
        <v>43.75791000000001</v>
      </c>
      <c r="AB19" t="s">
        <v>973</v>
      </c>
      <c r="AC19">
        <v>88</v>
      </c>
      <c r="AD19">
        <v>42</v>
      </c>
      <c r="AE19">
        <v>134</v>
      </c>
      <c r="AF19">
        <f t="shared" si="11"/>
        <v>46</v>
      </c>
      <c r="AG19">
        <f t="shared" si="12"/>
        <v>46</v>
      </c>
      <c r="AH19" s="59">
        <v>0.28999999999999998</v>
      </c>
      <c r="AI19">
        <v>28.571429999999999</v>
      </c>
      <c r="AJ19">
        <v>8.3889300000000002</v>
      </c>
      <c r="AK19">
        <v>58.103530000000006</v>
      </c>
      <c r="AL19">
        <f t="shared" si="13"/>
        <v>20.182499999999997</v>
      </c>
      <c r="AM19">
        <f t="shared" si="14"/>
        <v>29.532100000000007</v>
      </c>
      <c r="AN19">
        <v>32</v>
      </c>
    </row>
    <row r="20" spans="1:40" x14ac:dyDescent="0.25">
      <c r="A20" s="7" t="s">
        <v>102</v>
      </c>
      <c r="B20" s="95" t="s">
        <v>103</v>
      </c>
      <c r="C20" s="7">
        <v>44</v>
      </c>
      <c r="D20" s="7">
        <v>34</v>
      </c>
      <c r="E20" s="111">
        <v>0.88636360000000003</v>
      </c>
      <c r="F20" s="111">
        <v>0.97727269999999999</v>
      </c>
      <c r="G20" s="111">
        <v>0.9</v>
      </c>
      <c r="H20" s="111">
        <v>0.90909090000000004</v>
      </c>
      <c r="I20" s="62">
        <f t="shared" si="1"/>
        <v>10</v>
      </c>
      <c r="J20" s="111">
        <v>0.77272727272727271</v>
      </c>
      <c r="K20" s="111">
        <v>0.22727272727272727</v>
      </c>
      <c r="L20" s="7" t="s">
        <v>237</v>
      </c>
      <c r="M20" s="7" t="s">
        <v>209</v>
      </c>
      <c r="N20" s="61">
        <v>0</v>
      </c>
      <c r="O20" t="str">
        <f t="shared" si="2"/>
        <v>RVV</v>
      </c>
      <c r="P20" s="26">
        <f t="shared" si="3"/>
        <v>2</v>
      </c>
      <c r="Q20" s="26">
        <f t="shared" si="4"/>
        <v>2</v>
      </c>
      <c r="R20" s="26">
        <f t="shared" si="5"/>
        <v>2</v>
      </c>
      <c r="S20" s="26">
        <f t="shared" si="6"/>
        <v>2</v>
      </c>
      <c r="T20" s="46">
        <f>IF('AAA Summary'!$L$35=4, RANK(H20,H$8:H$81,1)+COUNTIF($H$8:H20,H20)-1, IF('AAA Summary'!$L$35=3, RANK(G20,G$8:G$81,1)+COUNTIF($G$8:G20,G20)-1, IF('AAA Summary'!$L$35=2, RANK(F20,F$8:F$81,1)+COUNTIF($F$8:F20,F20)-1, IF('AAA Summary'!$L$35=1, RANK(E20,E$8:E$81,1)+COUNTIF($E$8:E20,E20)-1))))</f>
        <v>23</v>
      </c>
      <c r="U20" s="34">
        <f>IF('AAA Summary'!$L$35=4, H20, IF('AAA Summary'!$L$35=3, G20, IF('AAA Summary'!$L$35=2, F20, IF('AAA Summary'!$L$35=1, E20))))</f>
        <v>0.88636360000000003</v>
      </c>
      <c r="V20">
        <f t="shared" si="7"/>
        <v>16</v>
      </c>
      <c r="W20" s="11">
        <f t="shared" si="8"/>
        <v>77.272727272727266</v>
      </c>
      <c r="X20">
        <v>62.155709999999999</v>
      </c>
      <c r="Y20">
        <v>88.526649999999989</v>
      </c>
      <c r="Z20">
        <f t="shared" si="9"/>
        <v>15.117017272727267</v>
      </c>
      <c r="AA20">
        <f t="shared" si="10"/>
        <v>26.37093999999999</v>
      </c>
      <c r="AB20" t="s">
        <v>974</v>
      </c>
      <c r="AC20">
        <v>101</v>
      </c>
      <c r="AD20">
        <v>49</v>
      </c>
      <c r="AE20">
        <v>179</v>
      </c>
      <c r="AF20">
        <f t="shared" si="11"/>
        <v>52</v>
      </c>
      <c r="AG20">
        <f t="shared" si="12"/>
        <v>78</v>
      </c>
      <c r="AH20" s="59">
        <v>0.26</v>
      </c>
      <c r="AI20">
        <v>25.641029999999997</v>
      </c>
      <c r="AJ20">
        <v>13.037679999999998</v>
      </c>
      <c r="AK20">
        <v>42.127389999999998</v>
      </c>
      <c r="AL20">
        <f t="shared" si="13"/>
        <v>12.603349999999999</v>
      </c>
      <c r="AM20">
        <f t="shared" si="14"/>
        <v>16.486360000000001</v>
      </c>
      <c r="AN20">
        <v>43</v>
      </c>
    </row>
    <row r="21" spans="1:40" x14ac:dyDescent="0.25">
      <c r="A21" s="7" t="s">
        <v>125</v>
      </c>
      <c r="B21" s="95" t="s">
        <v>126</v>
      </c>
      <c r="C21" s="7">
        <v>26</v>
      </c>
      <c r="D21" s="7">
        <v>17</v>
      </c>
      <c r="E21" s="111">
        <v>0.96153840000000002</v>
      </c>
      <c r="F21" s="111">
        <v>1</v>
      </c>
      <c r="G21" s="111">
        <v>0.95833330000000005</v>
      </c>
      <c r="H21" s="111">
        <v>1</v>
      </c>
      <c r="I21" s="62">
        <f t="shared" si="1"/>
        <v>9</v>
      </c>
      <c r="J21" s="111">
        <v>0.65384615384615385</v>
      </c>
      <c r="K21" s="111">
        <v>0.34615384615384615</v>
      </c>
      <c r="L21" s="7" t="s">
        <v>247</v>
      </c>
      <c r="M21" s="7" t="s">
        <v>186</v>
      </c>
      <c r="N21" s="61">
        <v>3.9688439999999998</v>
      </c>
      <c r="O21" t="str">
        <f t="shared" si="2"/>
        <v>RXR</v>
      </c>
      <c r="P21" s="26">
        <f t="shared" si="3"/>
        <v>3</v>
      </c>
      <c r="Q21" s="26">
        <f t="shared" si="4"/>
        <v>4</v>
      </c>
      <c r="R21" s="26">
        <f t="shared" si="5"/>
        <v>3</v>
      </c>
      <c r="S21" s="26">
        <f t="shared" si="6"/>
        <v>4</v>
      </c>
      <c r="T21" s="46">
        <f>IF('AAA Summary'!$L$35=4, RANK(H21,H$8:H$81,1)+COUNTIF($H$8:H21,H21)-1, IF('AAA Summary'!$L$35=3, RANK(G21,G$8:G$81,1)+COUNTIF($G$8:G21,G21)-1, IF('AAA Summary'!$L$35=2, RANK(F21,F$8:F$81,1)+COUNTIF($F$8:F21,F21)-1, IF('AAA Summary'!$L$35=1, RANK(E21,E$8:E$81,1)+COUNTIF($E$8:E21,E21)-1))))</f>
        <v>42</v>
      </c>
      <c r="U21" s="34">
        <f>IF('AAA Summary'!$L$35=4, H21, IF('AAA Summary'!$L$35=3, G21, IF('AAA Summary'!$L$35=2, F21, IF('AAA Summary'!$L$35=1, E21))))</f>
        <v>0.96153840000000002</v>
      </c>
      <c r="V21">
        <f t="shared" si="7"/>
        <v>24</v>
      </c>
      <c r="W21" s="11">
        <f t="shared" si="8"/>
        <v>65.384615384615387</v>
      </c>
      <c r="X21">
        <v>44.332810000000002</v>
      </c>
      <c r="Y21">
        <v>82.785589999999999</v>
      </c>
      <c r="Z21">
        <f t="shared" si="9"/>
        <v>21.051805384615385</v>
      </c>
      <c r="AA21">
        <f t="shared" si="10"/>
        <v>38.452779999999997</v>
      </c>
      <c r="AB21" t="s">
        <v>975</v>
      </c>
      <c r="AC21">
        <v>77</v>
      </c>
      <c r="AD21">
        <v>34</v>
      </c>
      <c r="AE21">
        <v>129</v>
      </c>
      <c r="AF21">
        <f t="shared" si="11"/>
        <v>43</v>
      </c>
      <c r="AG21">
        <f t="shared" si="12"/>
        <v>52</v>
      </c>
      <c r="AH21" s="59">
        <v>0.4</v>
      </c>
      <c r="AI21">
        <v>40</v>
      </c>
      <c r="AJ21">
        <v>21.12548</v>
      </c>
      <c r="AK21">
        <v>61.334650000000003</v>
      </c>
      <c r="AL21">
        <f t="shared" si="13"/>
        <v>18.87452</v>
      </c>
      <c r="AM21">
        <f t="shared" si="14"/>
        <v>21.334650000000003</v>
      </c>
      <c r="AN21">
        <v>22</v>
      </c>
    </row>
    <row r="22" spans="1:40" x14ac:dyDescent="0.25">
      <c r="A22" s="7" t="s">
        <v>29</v>
      </c>
      <c r="B22" s="95" t="s">
        <v>170</v>
      </c>
      <c r="C22" s="7">
        <v>44</v>
      </c>
      <c r="D22" s="7">
        <v>34</v>
      </c>
      <c r="E22" s="111">
        <v>0.95454539999999999</v>
      </c>
      <c r="F22" s="111">
        <v>1</v>
      </c>
      <c r="G22" s="111">
        <v>0.95348829999999996</v>
      </c>
      <c r="H22" s="111">
        <v>0.88636360000000003</v>
      </c>
      <c r="I22" s="62">
        <f t="shared" si="1"/>
        <v>10</v>
      </c>
      <c r="J22" s="111">
        <v>0.77272727272727271</v>
      </c>
      <c r="K22" s="111">
        <v>0.22727272727272727</v>
      </c>
      <c r="L22" s="7" t="s">
        <v>241</v>
      </c>
      <c r="M22" s="7" t="s">
        <v>259</v>
      </c>
      <c r="N22" s="61">
        <v>2.0550459999999999</v>
      </c>
      <c r="O22" t="str">
        <f t="shared" si="2"/>
        <v>RDE</v>
      </c>
      <c r="P22" s="26">
        <f t="shared" si="3"/>
        <v>3</v>
      </c>
      <c r="Q22" s="26">
        <f t="shared" si="4"/>
        <v>4</v>
      </c>
      <c r="R22" s="26">
        <f t="shared" si="5"/>
        <v>3</v>
      </c>
      <c r="S22" s="26">
        <f t="shared" si="6"/>
        <v>2</v>
      </c>
      <c r="T22" s="46">
        <f>IF('AAA Summary'!$L$35=4, RANK(H22,H$8:H$81,1)+COUNTIF($H$8:H22,H22)-1, IF('AAA Summary'!$L$35=3, RANK(G22,G$8:G$81,1)+COUNTIF($G$8:G22,G22)-1, IF('AAA Summary'!$L$35=2, RANK(F22,F$8:F$81,1)+COUNTIF($F$8:F22,F22)-1, IF('AAA Summary'!$L$35=1, RANK(E22,E$8:E$81,1)+COUNTIF($E$8:E22,E22)-1))))</f>
        <v>38</v>
      </c>
      <c r="U22" s="34">
        <f>IF('AAA Summary'!$L$35=4, H22, IF('AAA Summary'!$L$35=3, G22, IF('AAA Summary'!$L$35=2, F22, IF('AAA Summary'!$L$35=1, E22))))</f>
        <v>0.95454539999999999</v>
      </c>
      <c r="V22">
        <f t="shared" si="7"/>
        <v>16</v>
      </c>
      <c r="W22" s="11">
        <f t="shared" si="8"/>
        <v>77.272727272727266</v>
      </c>
      <c r="X22">
        <v>62.155709999999999</v>
      </c>
      <c r="Y22">
        <v>88.526649999999989</v>
      </c>
      <c r="Z22">
        <f t="shared" si="9"/>
        <v>15.117017272727267</v>
      </c>
      <c r="AA22">
        <f t="shared" si="10"/>
        <v>26.37093999999999</v>
      </c>
      <c r="AB22" t="s">
        <v>976</v>
      </c>
      <c r="AC22">
        <v>135</v>
      </c>
      <c r="AD22">
        <v>41</v>
      </c>
      <c r="AE22">
        <v>229</v>
      </c>
      <c r="AF22">
        <f t="shared" si="11"/>
        <v>94</v>
      </c>
      <c r="AG22">
        <f t="shared" si="12"/>
        <v>94</v>
      </c>
      <c r="AH22" s="59">
        <v>0.33</v>
      </c>
      <c r="AI22">
        <v>33.333329999999997</v>
      </c>
      <c r="AJ22">
        <v>19.566800000000001</v>
      </c>
      <c r="AK22">
        <v>49.548750000000005</v>
      </c>
      <c r="AL22">
        <f t="shared" si="13"/>
        <v>13.766529999999996</v>
      </c>
      <c r="AM22">
        <f t="shared" si="14"/>
        <v>16.215420000000009</v>
      </c>
      <c r="AN22">
        <v>54</v>
      </c>
    </row>
    <row r="23" spans="1:40" x14ac:dyDescent="0.25">
      <c r="A23" s="7" t="s">
        <v>30</v>
      </c>
      <c r="B23" s="95" t="s">
        <v>31</v>
      </c>
      <c r="C23" s="7">
        <v>22</v>
      </c>
      <c r="D23" s="7">
        <v>9</v>
      </c>
      <c r="E23" s="111">
        <v>0.90909090000000004</v>
      </c>
      <c r="F23" s="111">
        <v>0.95454539999999999</v>
      </c>
      <c r="G23" s="111">
        <v>0.90476190000000001</v>
      </c>
      <c r="H23" s="111">
        <v>0.81818179999999996</v>
      </c>
      <c r="I23" s="62">
        <f t="shared" si="1"/>
        <v>13</v>
      </c>
      <c r="J23" s="111">
        <v>0.40909090909090912</v>
      </c>
      <c r="K23" s="111">
        <v>0.59090909090909094</v>
      </c>
      <c r="L23" s="7" t="s">
        <v>220</v>
      </c>
      <c r="M23" s="7" t="s">
        <v>186</v>
      </c>
      <c r="N23" s="61">
        <v>1.8402559999999999</v>
      </c>
      <c r="O23" t="str">
        <f t="shared" si="2"/>
        <v>RDU</v>
      </c>
      <c r="P23" s="26">
        <f t="shared" si="3"/>
        <v>2</v>
      </c>
      <c r="Q23" s="26">
        <f t="shared" si="4"/>
        <v>1</v>
      </c>
      <c r="R23" s="26">
        <f t="shared" si="5"/>
        <v>2</v>
      </c>
      <c r="S23" s="26">
        <f t="shared" si="6"/>
        <v>2</v>
      </c>
      <c r="T23" s="46">
        <f>IF('AAA Summary'!$L$35=4, RANK(H23,H$8:H$81,1)+COUNTIF($H$8:H23,H23)-1, IF('AAA Summary'!$L$35=3, RANK(G23,G$8:G$81,1)+COUNTIF($G$8:G23,G23)-1, IF('AAA Summary'!$L$35=2, RANK(F23,F$8:F$81,1)+COUNTIF($F$8:F23,F23)-1, IF('AAA Summary'!$L$35=1, RANK(E23,E$8:E$81,1)+COUNTIF($E$8:E23,E23)-1))))</f>
        <v>26</v>
      </c>
      <c r="U23" s="34">
        <f>IF('AAA Summary'!$L$35=4, H23, IF('AAA Summary'!$L$35=3, G23, IF('AAA Summary'!$L$35=2, F23, IF('AAA Summary'!$L$35=1, E23))))</f>
        <v>0.90909090000000004</v>
      </c>
      <c r="V23">
        <f t="shared" si="7"/>
        <v>54</v>
      </c>
      <c r="W23" s="11">
        <f t="shared" si="8"/>
        <v>40.909090909090914</v>
      </c>
      <c r="X23">
        <v>20.709309999999999</v>
      </c>
      <c r="Y23">
        <v>63.645300000000006</v>
      </c>
      <c r="Z23">
        <f t="shared" si="9"/>
        <v>20.199780909090915</v>
      </c>
      <c r="AA23">
        <f t="shared" si="10"/>
        <v>42.935990000000004</v>
      </c>
      <c r="AB23" t="s">
        <v>977</v>
      </c>
      <c r="AC23">
        <v>35</v>
      </c>
      <c r="AD23">
        <v>16</v>
      </c>
      <c r="AE23">
        <v>69</v>
      </c>
      <c r="AF23">
        <f t="shared" si="11"/>
        <v>19</v>
      </c>
      <c r="AG23">
        <f t="shared" si="12"/>
        <v>34</v>
      </c>
      <c r="AH23" s="59">
        <v>0.65</v>
      </c>
      <c r="AI23">
        <v>65</v>
      </c>
      <c r="AJ23">
        <v>40.781149999999997</v>
      </c>
      <c r="AK23">
        <v>84.609080000000006</v>
      </c>
      <c r="AL23">
        <f t="shared" si="13"/>
        <v>24.218850000000003</v>
      </c>
      <c r="AM23">
        <f t="shared" si="14"/>
        <v>19.609080000000006</v>
      </c>
      <c r="AN23">
        <v>1</v>
      </c>
    </row>
    <row r="24" spans="1:40" x14ac:dyDescent="0.25">
      <c r="A24" s="7" t="s">
        <v>93</v>
      </c>
      <c r="B24" s="95" t="s">
        <v>94</v>
      </c>
      <c r="C24" s="7">
        <v>64</v>
      </c>
      <c r="D24" s="7">
        <v>20</v>
      </c>
      <c r="E24" s="111">
        <v>0.859375</v>
      </c>
      <c r="F24" s="111">
        <v>0.96875</v>
      </c>
      <c r="G24" s="111">
        <v>0.92727269999999995</v>
      </c>
      <c r="H24" s="111">
        <v>0.609375</v>
      </c>
      <c r="I24" s="62">
        <f t="shared" si="1"/>
        <v>44</v>
      </c>
      <c r="J24" s="111">
        <v>0.3125</v>
      </c>
      <c r="K24" s="111">
        <v>0.6875</v>
      </c>
      <c r="L24" s="7" t="s">
        <v>605</v>
      </c>
      <c r="M24" s="7" t="s">
        <v>634</v>
      </c>
      <c r="N24" s="61">
        <v>1.8674489999999999</v>
      </c>
      <c r="O24" t="str">
        <f t="shared" si="2"/>
        <v>RTE</v>
      </c>
      <c r="P24" s="26">
        <f t="shared" si="3"/>
        <v>2</v>
      </c>
      <c r="Q24" s="26">
        <f t="shared" si="4"/>
        <v>1</v>
      </c>
      <c r="R24" s="26">
        <f t="shared" si="5"/>
        <v>2</v>
      </c>
      <c r="S24" s="26">
        <f t="shared" si="6"/>
        <v>1</v>
      </c>
      <c r="T24" s="46">
        <f>IF('AAA Summary'!$L$35=4, RANK(H24,H$8:H$81,1)+COUNTIF($H$8:H24,H24)-1, IF('AAA Summary'!$L$35=3, RANK(G24,G$8:G$81,1)+COUNTIF($G$8:G24,G24)-1, IF('AAA Summary'!$L$35=2, RANK(F24,F$8:F$81,1)+COUNTIF($F$8:F24,F24)-1, IF('AAA Summary'!$L$35=1, RANK(E24,E$8:E$81,1)+COUNTIF($E$8:E24,E24)-1))))</f>
        <v>22</v>
      </c>
      <c r="U24" s="34">
        <f>IF('AAA Summary'!$L$35=4, H24, IF('AAA Summary'!$L$35=3, G24, IF('AAA Summary'!$L$35=2, F24, IF('AAA Summary'!$L$35=1, E24))))</f>
        <v>0.859375</v>
      </c>
      <c r="V24">
        <f t="shared" si="7"/>
        <v>64</v>
      </c>
      <c r="W24" s="11">
        <f t="shared" si="8"/>
        <v>31.25</v>
      </c>
      <c r="X24">
        <v>20.242149999999999</v>
      </c>
      <c r="Y24">
        <v>44.059440000000002</v>
      </c>
      <c r="Z24">
        <f t="shared" si="9"/>
        <v>11.007850000000001</v>
      </c>
      <c r="AA24">
        <f t="shared" si="10"/>
        <v>23.817290000000003</v>
      </c>
      <c r="AB24" t="s">
        <v>978</v>
      </c>
      <c r="AC24">
        <v>74</v>
      </c>
      <c r="AD24">
        <v>29</v>
      </c>
      <c r="AE24">
        <v>148</v>
      </c>
      <c r="AF24">
        <f t="shared" si="11"/>
        <v>45</v>
      </c>
      <c r="AG24">
        <f t="shared" si="12"/>
        <v>74</v>
      </c>
      <c r="AH24" s="59">
        <v>0.33</v>
      </c>
      <c r="AI24">
        <v>32.727270000000004</v>
      </c>
      <c r="AJ24">
        <v>20.680810000000001</v>
      </c>
      <c r="AK24">
        <v>46.70711</v>
      </c>
      <c r="AL24">
        <f t="shared" si="13"/>
        <v>12.046460000000003</v>
      </c>
      <c r="AM24">
        <f t="shared" si="14"/>
        <v>13.979839999999996</v>
      </c>
      <c r="AN24">
        <v>19</v>
      </c>
    </row>
    <row r="25" spans="1:40" x14ac:dyDescent="0.25">
      <c r="A25" s="7" t="s">
        <v>50</v>
      </c>
      <c r="B25" s="95" t="s">
        <v>51</v>
      </c>
      <c r="C25" s="7">
        <v>53</v>
      </c>
      <c r="D25" s="7">
        <v>28</v>
      </c>
      <c r="E25" s="111">
        <v>0.84905660000000005</v>
      </c>
      <c r="F25" s="111">
        <v>0.98113209999999995</v>
      </c>
      <c r="G25" s="111">
        <v>0.875</v>
      </c>
      <c r="H25" s="111">
        <v>0.52830189999999999</v>
      </c>
      <c r="I25" s="62">
        <f t="shared" si="1"/>
        <v>25</v>
      </c>
      <c r="J25" s="111">
        <v>0.52830188679245282</v>
      </c>
      <c r="K25" s="111">
        <v>0.47169811320754718</v>
      </c>
      <c r="L25" s="7" t="s">
        <v>183</v>
      </c>
      <c r="M25" s="7" t="s">
        <v>545</v>
      </c>
      <c r="N25" s="61">
        <v>0.48343849999999999</v>
      </c>
      <c r="O25" t="str">
        <f t="shared" si="2"/>
        <v>RJ1</v>
      </c>
      <c r="P25" s="26">
        <f t="shared" si="3"/>
        <v>2</v>
      </c>
      <c r="Q25" s="26">
        <f t="shared" si="4"/>
        <v>2</v>
      </c>
      <c r="R25" s="26">
        <f t="shared" si="5"/>
        <v>2</v>
      </c>
      <c r="S25" s="26">
        <f t="shared" si="6"/>
        <v>1</v>
      </c>
      <c r="T25" s="46">
        <f>IF('AAA Summary'!$L$35=4, RANK(H25,H$8:H$81,1)+COUNTIF($H$8:H25,H25)-1, IF('AAA Summary'!$L$35=3, RANK(G25,G$8:G$81,1)+COUNTIF($G$8:G25,G25)-1, IF('AAA Summary'!$L$35=2, RANK(F25,F$8:F$81,1)+COUNTIF($F$8:F25,F25)-1, IF('AAA Summary'!$L$35=1, RANK(E25,E$8:E$81,1)+COUNTIF($E$8:E25,E25)-1))))</f>
        <v>19</v>
      </c>
      <c r="U25" s="34">
        <f>IF('AAA Summary'!$L$35=4, H25, IF('AAA Summary'!$L$35=3, G25, IF('AAA Summary'!$L$35=2, F25, IF('AAA Summary'!$L$35=1, E25))))</f>
        <v>0.84905660000000005</v>
      </c>
      <c r="V25">
        <f t="shared" si="7"/>
        <v>43</v>
      </c>
      <c r="W25" s="11">
        <f t="shared" si="8"/>
        <v>52.830188679245282</v>
      </c>
      <c r="X25">
        <v>38.63552</v>
      </c>
      <c r="Y25">
        <v>66.69753</v>
      </c>
      <c r="Z25">
        <f t="shared" si="9"/>
        <v>14.194668679245282</v>
      </c>
      <c r="AA25">
        <f t="shared" si="10"/>
        <v>28.062010000000001</v>
      </c>
      <c r="AB25" t="s">
        <v>979</v>
      </c>
      <c r="AC25">
        <v>114</v>
      </c>
      <c r="AD25">
        <v>57</v>
      </c>
      <c r="AE25">
        <v>188</v>
      </c>
      <c r="AF25">
        <f t="shared" si="11"/>
        <v>57</v>
      </c>
      <c r="AG25">
        <f t="shared" si="12"/>
        <v>74</v>
      </c>
      <c r="AH25" s="59">
        <v>0.24</v>
      </c>
      <c r="AI25">
        <v>24.44444</v>
      </c>
      <c r="AJ25">
        <v>12.882279999999998</v>
      </c>
      <c r="AK25">
        <v>39.537089999999999</v>
      </c>
      <c r="AL25">
        <f t="shared" si="13"/>
        <v>11.562160000000002</v>
      </c>
      <c r="AM25">
        <f t="shared" si="14"/>
        <v>15.092649999999999</v>
      </c>
      <c r="AN25">
        <v>46</v>
      </c>
    </row>
    <row r="26" spans="1:40" x14ac:dyDescent="0.25">
      <c r="A26" s="7" t="s">
        <v>106</v>
      </c>
      <c r="B26" s="95" t="s">
        <v>356</v>
      </c>
      <c r="C26" s="7">
        <v>38</v>
      </c>
      <c r="D26" s="7">
        <v>24</v>
      </c>
      <c r="E26" s="111">
        <v>0.9473684</v>
      </c>
      <c r="F26" s="111">
        <v>0</v>
      </c>
      <c r="G26" s="111">
        <v>0.9473684</v>
      </c>
      <c r="H26" s="111">
        <v>0.9473684</v>
      </c>
      <c r="I26" s="62">
        <f t="shared" si="1"/>
        <v>14</v>
      </c>
      <c r="J26" s="111">
        <v>0.63157894736842102</v>
      </c>
      <c r="K26" s="111">
        <v>0.36842105263157893</v>
      </c>
      <c r="L26" s="7" t="s">
        <v>602</v>
      </c>
      <c r="M26" s="7" t="s">
        <v>259</v>
      </c>
      <c r="N26" s="61">
        <v>0.89303169999999998</v>
      </c>
      <c r="O26" t="str">
        <f t="shared" si="2"/>
        <v>RWA</v>
      </c>
      <c r="P26" s="26">
        <f t="shared" si="3"/>
        <v>2</v>
      </c>
      <c r="Q26" s="26">
        <f t="shared" si="4"/>
        <v>1</v>
      </c>
      <c r="R26" s="26">
        <f t="shared" si="5"/>
        <v>2</v>
      </c>
      <c r="S26" s="26">
        <f t="shared" si="6"/>
        <v>3</v>
      </c>
      <c r="T26" s="46">
        <f>IF('AAA Summary'!$L$35=4, RANK(H26,H$8:H$81,1)+COUNTIF($H$8:H26,H26)-1, IF('AAA Summary'!$L$35=3, RANK(G26,G$8:G$81,1)+COUNTIF($G$8:G26,G26)-1, IF('AAA Summary'!$L$35=2, RANK(F26,F$8:F$81,1)+COUNTIF($F$8:F26,F26)-1, IF('AAA Summary'!$L$35=1, RANK(E26,E$8:E$81,1)+COUNTIF($E$8:E26,E26)-1))))</f>
        <v>35</v>
      </c>
      <c r="U26" s="34">
        <f>IF('AAA Summary'!$L$35=4, H26, IF('AAA Summary'!$L$35=3, G26, IF('AAA Summary'!$L$35=2, F26, IF('AAA Summary'!$L$35=1, E26))))</f>
        <v>0.9473684</v>
      </c>
      <c r="V26">
        <f t="shared" si="7"/>
        <v>27</v>
      </c>
      <c r="W26" s="11">
        <f t="shared" si="8"/>
        <v>63.157894736842103</v>
      </c>
      <c r="X26">
        <v>45.994279999999996</v>
      </c>
      <c r="Y26">
        <v>78.1875</v>
      </c>
      <c r="Z26">
        <f t="shared" si="9"/>
        <v>17.163614736842106</v>
      </c>
      <c r="AA26">
        <f t="shared" si="10"/>
        <v>32.193220000000004</v>
      </c>
      <c r="AB26" t="s">
        <v>980</v>
      </c>
      <c r="AC26">
        <v>149</v>
      </c>
      <c r="AD26">
        <v>74</v>
      </c>
      <c r="AE26">
        <v>212</v>
      </c>
      <c r="AF26">
        <f t="shared" si="11"/>
        <v>75</v>
      </c>
      <c r="AG26">
        <f t="shared" si="12"/>
        <v>63</v>
      </c>
      <c r="AH26" s="59">
        <v>0.11</v>
      </c>
      <c r="AI26">
        <v>11.11111</v>
      </c>
      <c r="AJ26">
        <v>3.1116100000000002</v>
      </c>
      <c r="AK26">
        <v>26.061089999999997</v>
      </c>
      <c r="AL26">
        <f t="shared" si="13"/>
        <v>7.9994999999999994</v>
      </c>
      <c r="AM26">
        <f t="shared" si="14"/>
        <v>14.949979999999996</v>
      </c>
      <c r="AN26">
        <v>57</v>
      </c>
    </row>
    <row r="27" spans="1:40" x14ac:dyDescent="0.25">
      <c r="A27" s="7" t="s">
        <v>129</v>
      </c>
      <c r="B27" s="95" t="s">
        <v>130</v>
      </c>
      <c r="C27" s="7">
        <v>46</v>
      </c>
      <c r="D27" s="7">
        <v>29</v>
      </c>
      <c r="E27" s="111">
        <v>0.71739129999999995</v>
      </c>
      <c r="F27" s="111">
        <v>0.97826089999999999</v>
      </c>
      <c r="G27" s="111">
        <v>0.81081080000000005</v>
      </c>
      <c r="H27" s="111">
        <v>0.93478260000000002</v>
      </c>
      <c r="I27" s="62">
        <f t="shared" si="1"/>
        <v>17</v>
      </c>
      <c r="J27" s="111">
        <v>0.63043478260869568</v>
      </c>
      <c r="K27" s="111">
        <v>0.36956521739130432</v>
      </c>
      <c r="L27" s="7" t="s">
        <v>189</v>
      </c>
      <c r="M27" s="7" t="s">
        <v>338</v>
      </c>
      <c r="N27" s="61">
        <v>0</v>
      </c>
      <c r="O27" t="str">
        <f t="shared" si="2"/>
        <v>RYJ</v>
      </c>
      <c r="P27" s="26">
        <f t="shared" si="3"/>
        <v>1</v>
      </c>
      <c r="Q27" s="26">
        <f t="shared" si="4"/>
        <v>2</v>
      </c>
      <c r="R27" s="26">
        <f t="shared" si="5"/>
        <v>1</v>
      </c>
      <c r="S27" s="26">
        <f t="shared" si="6"/>
        <v>3</v>
      </c>
      <c r="T27" s="46">
        <f>IF('AAA Summary'!$L$35=4, RANK(H27,H$8:H$81,1)+COUNTIF($H$8:H27,H27)-1, IF('AAA Summary'!$L$35=3, RANK(G27,G$8:G$81,1)+COUNTIF($G$8:G27,G27)-1, IF('AAA Summary'!$L$35=2, RANK(F27,F$8:F$81,1)+COUNTIF($F$8:F27,F27)-1, IF('AAA Summary'!$L$35=1, RANK(E27,E$8:E$81,1)+COUNTIF($E$8:E27,E27)-1))))</f>
        <v>5</v>
      </c>
      <c r="U27" s="34">
        <f>IF('AAA Summary'!$L$35=4, H27, IF('AAA Summary'!$L$35=3, G27, IF('AAA Summary'!$L$35=2, F27, IF('AAA Summary'!$L$35=1, E27))))</f>
        <v>0.71739129999999995</v>
      </c>
      <c r="V27">
        <f t="shared" si="7"/>
        <v>28</v>
      </c>
      <c r="W27" s="11">
        <f t="shared" si="8"/>
        <v>63.04347826086957</v>
      </c>
      <c r="X27">
        <v>47.548449999999995</v>
      </c>
      <c r="Y27">
        <v>76.793430000000001</v>
      </c>
      <c r="Z27">
        <f t="shared" si="9"/>
        <v>15.495028260869574</v>
      </c>
      <c r="AA27">
        <f t="shared" si="10"/>
        <v>29.244980000000005</v>
      </c>
      <c r="AB27" t="s">
        <v>981</v>
      </c>
      <c r="AC27">
        <v>61</v>
      </c>
      <c r="AD27">
        <v>25</v>
      </c>
      <c r="AE27">
        <v>124</v>
      </c>
      <c r="AF27">
        <f t="shared" si="11"/>
        <v>36</v>
      </c>
      <c r="AG27">
        <f t="shared" si="12"/>
        <v>63</v>
      </c>
      <c r="AH27" s="59">
        <v>0.48</v>
      </c>
      <c r="AI27">
        <v>48.484850000000002</v>
      </c>
      <c r="AJ27">
        <v>30.796340000000001</v>
      </c>
      <c r="AK27">
        <v>66.455550000000002</v>
      </c>
      <c r="AL27">
        <f t="shared" si="13"/>
        <v>17.688510000000001</v>
      </c>
      <c r="AM27">
        <f t="shared" si="14"/>
        <v>17.970700000000001</v>
      </c>
      <c r="AN27">
        <v>7</v>
      </c>
    </row>
    <row r="28" spans="1:40" x14ac:dyDescent="0.25">
      <c r="A28" s="7" t="s">
        <v>58</v>
      </c>
      <c r="B28" s="95" t="s">
        <v>59</v>
      </c>
      <c r="C28" s="7">
        <v>1</v>
      </c>
      <c r="D28" s="7">
        <v>0</v>
      </c>
      <c r="E28" s="111">
        <v>0</v>
      </c>
      <c r="F28" s="111">
        <v>1</v>
      </c>
      <c r="G28" s="111"/>
      <c r="H28" s="111">
        <v>1</v>
      </c>
      <c r="I28" s="62">
        <f t="shared" si="1"/>
        <v>1</v>
      </c>
      <c r="J28" s="111">
        <v>0</v>
      </c>
      <c r="K28" s="111">
        <v>1</v>
      </c>
      <c r="L28" s="7" t="s">
        <v>604</v>
      </c>
      <c r="M28" s="7" t="s">
        <v>619</v>
      </c>
      <c r="N28" s="61">
        <v>0</v>
      </c>
      <c r="O28" t="str">
        <f t="shared" si="2"/>
        <v>RJZ</v>
      </c>
      <c r="P28" s="26">
        <f t="shared" si="3"/>
        <v>1</v>
      </c>
      <c r="Q28" s="26">
        <f t="shared" si="4"/>
        <v>4</v>
      </c>
      <c r="R28" s="26">
        <f t="shared" si="5"/>
        <v>1</v>
      </c>
      <c r="S28" s="26">
        <f t="shared" si="6"/>
        <v>4</v>
      </c>
      <c r="T28" s="46">
        <f>IF('AAA Summary'!$L$35=4, RANK(H28,H$8:H$81,1)+COUNTIF($H$8:H28,H28)-1, IF('AAA Summary'!$L$35=3, RANK(G28,G$8:G$81,1)+COUNTIF($G$8:G28,G28)-1, IF('AAA Summary'!$L$35=2, RANK(F28,F$8:F$81,1)+COUNTIF($F$8:F28,F28)-1, IF('AAA Summary'!$L$35=1, RANK(E28,E$8:E$81,1)+COUNTIF($E$8:E28,E28)-1))))</f>
        <v>1</v>
      </c>
      <c r="U28" s="34">
        <f>IF('AAA Summary'!$L$35=4, H28, IF('AAA Summary'!$L$35=3, G28, IF('AAA Summary'!$L$35=2, F28, IF('AAA Summary'!$L$35=1, E28))))</f>
        <v>0</v>
      </c>
      <c r="V28">
        <f t="shared" si="7"/>
        <v>69</v>
      </c>
      <c r="W28" s="11">
        <f t="shared" si="8"/>
        <v>0</v>
      </c>
      <c r="X28" t="e">
        <v>#N/A</v>
      </c>
      <c r="Y28" t="e">
        <v>#N/A</v>
      </c>
      <c r="Z28" t="e">
        <f t="shared" si="9"/>
        <v>#N/A</v>
      </c>
      <c r="AA28" t="e">
        <f t="shared" si="10"/>
        <v>#N/A</v>
      </c>
      <c r="AB28" t="e">
        <v>#N/A</v>
      </c>
      <c r="AC28" t="e">
        <v>#N/A</v>
      </c>
      <c r="AD28" t="e">
        <v>#N/A</v>
      </c>
      <c r="AE28" t="e">
        <v>#N/A</v>
      </c>
      <c r="AF28" t="e">
        <f t="shared" si="11"/>
        <v>#N/A</v>
      </c>
      <c r="AG28" t="e">
        <f t="shared" si="12"/>
        <v>#N/A</v>
      </c>
      <c r="AH28" t="e">
        <v>#N/A</v>
      </c>
      <c r="AI28" t="e">
        <v>#N/A</v>
      </c>
      <c r="AJ28" t="e">
        <v>#N/A</v>
      </c>
      <c r="AK28" t="e">
        <v>#N/A</v>
      </c>
      <c r="AL28" t="e">
        <f t="shared" si="13"/>
        <v>#N/A</v>
      </c>
      <c r="AM28" t="e">
        <f t="shared" si="14"/>
        <v>#N/A</v>
      </c>
      <c r="AN28" t="e">
        <v>#N/A</v>
      </c>
    </row>
    <row r="29" spans="1:40" x14ac:dyDescent="0.25">
      <c r="A29" s="7" t="s">
        <v>123</v>
      </c>
      <c r="B29" s="95" t="s">
        <v>124</v>
      </c>
      <c r="C29" s="7">
        <v>89</v>
      </c>
      <c r="D29" s="7">
        <v>64</v>
      </c>
      <c r="E29" s="111">
        <v>0.95505620000000002</v>
      </c>
      <c r="F29" s="111">
        <v>0.98876399999999998</v>
      </c>
      <c r="G29" s="111">
        <v>0.97619040000000001</v>
      </c>
      <c r="H29" s="111">
        <v>1</v>
      </c>
      <c r="I29" s="62">
        <f t="shared" si="1"/>
        <v>25</v>
      </c>
      <c r="J29" s="111">
        <v>0.7191011235955056</v>
      </c>
      <c r="K29" s="111">
        <v>0.2808988764044944</v>
      </c>
      <c r="L29" s="7" t="s">
        <v>235</v>
      </c>
      <c r="M29" s="7" t="s">
        <v>258</v>
      </c>
      <c r="N29" s="61">
        <v>1.2632669999999999</v>
      </c>
      <c r="O29" t="str">
        <f t="shared" si="2"/>
        <v>RXN</v>
      </c>
      <c r="P29" s="26">
        <f t="shared" si="3"/>
        <v>3</v>
      </c>
      <c r="Q29" s="26">
        <f t="shared" si="4"/>
        <v>2</v>
      </c>
      <c r="R29" s="26">
        <f t="shared" si="5"/>
        <v>3</v>
      </c>
      <c r="S29" s="26">
        <f t="shared" si="6"/>
        <v>4</v>
      </c>
      <c r="T29" s="46">
        <f>IF('AAA Summary'!$L$35=4, RANK(H29,H$8:H$81,1)+COUNTIF($H$8:H29,H29)-1, IF('AAA Summary'!$L$35=3, RANK(G29,G$8:G$81,1)+COUNTIF($G$8:G29,G29)-1, IF('AAA Summary'!$L$35=2, RANK(F29,F$8:F$81,1)+COUNTIF($F$8:F29,F29)-1, IF('AAA Summary'!$L$35=1, RANK(E29,E$8:E$81,1)+COUNTIF($E$8:E29,E29)-1))))</f>
        <v>39</v>
      </c>
      <c r="U29" s="34">
        <f>IF('AAA Summary'!$L$35=4, H29, IF('AAA Summary'!$L$35=3, G29, IF('AAA Summary'!$L$35=2, F29, IF('AAA Summary'!$L$35=1, E29))))</f>
        <v>0.95505620000000002</v>
      </c>
      <c r="V29">
        <f t="shared" si="7"/>
        <v>21</v>
      </c>
      <c r="W29" s="11">
        <f t="shared" si="8"/>
        <v>71.910112359550567</v>
      </c>
      <c r="X29">
        <v>61.384450000000001</v>
      </c>
      <c r="Y29">
        <v>80.926569999999998</v>
      </c>
      <c r="Z29">
        <f t="shared" si="9"/>
        <v>10.525662359550566</v>
      </c>
      <c r="AA29">
        <f t="shared" si="10"/>
        <v>19.542119999999997</v>
      </c>
      <c r="AB29" t="s">
        <v>982</v>
      </c>
      <c r="AC29">
        <v>80</v>
      </c>
      <c r="AD29">
        <v>46</v>
      </c>
      <c r="AE29">
        <v>134</v>
      </c>
      <c r="AF29">
        <f t="shared" si="11"/>
        <v>34</v>
      </c>
      <c r="AG29">
        <f t="shared" si="12"/>
        <v>54</v>
      </c>
      <c r="AH29" s="59">
        <v>0.34</v>
      </c>
      <c r="AI29">
        <v>34.117649999999998</v>
      </c>
      <c r="AJ29">
        <v>24.175139999999999</v>
      </c>
      <c r="AK29">
        <v>45.202460000000002</v>
      </c>
      <c r="AL29">
        <f t="shared" si="13"/>
        <v>9.9425099999999986</v>
      </c>
      <c r="AM29">
        <f t="shared" si="14"/>
        <v>11.084810000000004</v>
      </c>
      <c r="AN29">
        <v>26</v>
      </c>
    </row>
    <row r="30" spans="1:40" x14ac:dyDescent="0.25">
      <c r="A30" s="7" t="s">
        <v>83</v>
      </c>
      <c r="B30" s="95" t="s">
        <v>84</v>
      </c>
      <c r="C30" s="7">
        <v>37</v>
      </c>
      <c r="D30" s="7">
        <v>20</v>
      </c>
      <c r="E30" s="111">
        <v>0.81081080000000005</v>
      </c>
      <c r="F30" s="111">
        <v>1</v>
      </c>
      <c r="G30" s="111">
        <v>0.83333330000000005</v>
      </c>
      <c r="H30" s="111">
        <v>0.81081080000000005</v>
      </c>
      <c r="I30" s="62">
        <f t="shared" si="1"/>
        <v>17</v>
      </c>
      <c r="J30" s="111">
        <v>0.54054054054054057</v>
      </c>
      <c r="K30" s="111">
        <v>0.45945945945945948</v>
      </c>
      <c r="L30" s="7" t="s">
        <v>629</v>
      </c>
      <c r="M30" s="7" t="s">
        <v>187</v>
      </c>
      <c r="N30" s="61">
        <v>0.95209410000000005</v>
      </c>
      <c r="O30" t="str">
        <f t="shared" si="2"/>
        <v>RR8</v>
      </c>
      <c r="P30" s="26">
        <f t="shared" si="3"/>
        <v>1</v>
      </c>
      <c r="Q30" s="26">
        <f t="shared" si="4"/>
        <v>4</v>
      </c>
      <c r="R30" s="26">
        <f t="shared" si="5"/>
        <v>1</v>
      </c>
      <c r="S30" s="26">
        <f t="shared" si="6"/>
        <v>2</v>
      </c>
      <c r="T30" s="46">
        <f>IF('AAA Summary'!$L$35=4, RANK(H30,H$8:H$81,1)+COUNTIF($H$8:H30,H30)-1, IF('AAA Summary'!$L$35=3, RANK(G30,G$8:G$81,1)+COUNTIF($G$8:G30,G30)-1, IF('AAA Summary'!$L$35=2, RANK(F30,F$8:F$81,1)+COUNTIF($F$8:F30,F30)-1, IF('AAA Summary'!$L$35=1, RANK(E30,E$8:E$81,1)+COUNTIF($E$8:E30,E30)-1))))</f>
        <v>12</v>
      </c>
      <c r="U30" s="34">
        <f>IF('AAA Summary'!$L$35=4, H30, IF('AAA Summary'!$L$35=3, G30, IF('AAA Summary'!$L$35=2, F30, IF('AAA Summary'!$L$35=1, E30))))</f>
        <v>0.81081080000000005</v>
      </c>
      <c r="V30">
        <f t="shared" si="7"/>
        <v>42</v>
      </c>
      <c r="W30" s="11">
        <f t="shared" si="8"/>
        <v>54.054054054054056</v>
      </c>
      <c r="X30">
        <v>36.921959999999999</v>
      </c>
      <c r="Y30">
        <v>70.512690000000006</v>
      </c>
      <c r="Z30">
        <f t="shared" si="9"/>
        <v>17.132094054054058</v>
      </c>
      <c r="AA30">
        <f t="shared" si="10"/>
        <v>33.590730000000008</v>
      </c>
      <c r="AB30" t="s">
        <v>983</v>
      </c>
      <c r="AC30">
        <v>94</v>
      </c>
      <c r="AD30">
        <v>57</v>
      </c>
      <c r="AE30">
        <v>131</v>
      </c>
      <c r="AF30">
        <f t="shared" si="11"/>
        <v>37</v>
      </c>
      <c r="AG30">
        <f t="shared" si="12"/>
        <v>37</v>
      </c>
      <c r="AH30" s="59">
        <v>0.23</v>
      </c>
      <c r="AI30">
        <v>23.33333</v>
      </c>
      <c r="AJ30">
        <v>9.9337900000000001</v>
      </c>
      <c r="AK30">
        <v>42.283650000000002</v>
      </c>
      <c r="AL30">
        <f t="shared" si="13"/>
        <v>13.39954</v>
      </c>
      <c r="AM30">
        <f t="shared" si="14"/>
        <v>18.950320000000001</v>
      </c>
      <c r="AN30">
        <v>36</v>
      </c>
    </row>
    <row r="31" spans="1:40" x14ac:dyDescent="0.25">
      <c r="A31" s="7" t="s">
        <v>505</v>
      </c>
      <c r="B31" s="95" t="s">
        <v>506</v>
      </c>
      <c r="C31" s="7">
        <v>6</v>
      </c>
      <c r="D31" s="7">
        <v>1</v>
      </c>
      <c r="E31" s="111">
        <v>0.83333330000000005</v>
      </c>
      <c r="F31" s="111">
        <v>1</v>
      </c>
      <c r="G31" s="111">
        <v>0.8</v>
      </c>
      <c r="H31" s="111">
        <v>0.1666667</v>
      </c>
      <c r="I31" s="62">
        <f t="shared" si="1"/>
        <v>5</v>
      </c>
      <c r="J31" s="111">
        <v>0.16666666666666666</v>
      </c>
      <c r="K31" s="111">
        <v>0.83333333333333337</v>
      </c>
      <c r="L31" s="7" t="s">
        <v>609</v>
      </c>
      <c r="M31" s="7" t="s">
        <v>261</v>
      </c>
      <c r="N31" s="61">
        <v>0</v>
      </c>
      <c r="O31" t="str">
        <f t="shared" si="2"/>
        <v>RBQ</v>
      </c>
      <c r="P31" s="26">
        <f t="shared" si="3"/>
        <v>1</v>
      </c>
      <c r="Q31" s="26">
        <f t="shared" si="4"/>
        <v>4</v>
      </c>
      <c r="R31" s="26">
        <f t="shared" si="5"/>
        <v>1</v>
      </c>
      <c r="S31" s="26">
        <f t="shared" si="6"/>
        <v>1</v>
      </c>
      <c r="T31" s="46">
        <f>IF('AAA Summary'!$L$35=4, RANK(H31,H$8:H$81,1)+COUNTIF($H$8:H31,H31)-1, IF('AAA Summary'!$L$35=3, RANK(G31,G$8:G$81,1)+COUNTIF($G$8:G31,G31)-1, IF('AAA Summary'!$L$35=2, RANK(F31,F$8:F$81,1)+COUNTIF($F$8:F31,F31)-1, IF('AAA Summary'!$L$35=1, RANK(E31,E$8:E$81,1)+COUNTIF($E$8:E31,E31)-1))))</f>
        <v>14</v>
      </c>
      <c r="U31" s="34">
        <f>IF('AAA Summary'!$L$35=4, H31, IF('AAA Summary'!$L$35=3, G31, IF('AAA Summary'!$L$35=2, F31, IF('AAA Summary'!$L$35=1, E31))))</f>
        <v>0.83333330000000005</v>
      </c>
      <c r="V31">
        <f t="shared" si="7"/>
        <v>67</v>
      </c>
      <c r="W31" s="11">
        <f t="shared" si="8"/>
        <v>16.666666666666664</v>
      </c>
      <c r="X31" t="e">
        <v>#N/A</v>
      </c>
      <c r="Y31" t="e">
        <v>#N/A</v>
      </c>
      <c r="Z31" t="e">
        <f t="shared" si="9"/>
        <v>#N/A</v>
      </c>
      <c r="AA31" t="e">
        <f t="shared" si="10"/>
        <v>#N/A</v>
      </c>
      <c r="AB31" t="e">
        <v>#N/A</v>
      </c>
      <c r="AC31" t="e">
        <v>#N/A</v>
      </c>
      <c r="AD31" t="e">
        <v>#N/A</v>
      </c>
      <c r="AE31" t="e">
        <v>#N/A</v>
      </c>
      <c r="AF31" t="e">
        <f t="shared" si="11"/>
        <v>#N/A</v>
      </c>
      <c r="AG31" t="e">
        <f t="shared" si="12"/>
        <v>#N/A</v>
      </c>
      <c r="AH31" t="e">
        <v>#N/A</v>
      </c>
      <c r="AI31" t="e">
        <v>#N/A</v>
      </c>
      <c r="AJ31" t="e">
        <v>#N/A</v>
      </c>
      <c r="AK31" t="e">
        <v>#N/A</v>
      </c>
      <c r="AL31" t="e">
        <f t="shared" si="13"/>
        <v>#N/A</v>
      </c>
      <c r="AM31" t="e">
        <f t="shared" si="14"/>
        <v>#N/A</v>
      </c>
      <c r="AN31" t="e">
        <v>#N/A</v>
      </c>
    </row>
    <row r="32" spans="1:40" x14ac:dyDescent="0.25">
      <c r="A32" s="7" t="s">
        <v>34</v>
      </c>
      <c r="B32" s="95" t="s">
        <v>357</v>
      </c>
      <c r="C32" s="7">
        <v>60</v>
      </c>
      <c r="D32" s="7">
        <v>37</v>
      </c>
      <c r="E32" s="111">
        <v>0.95</v>
      </c>
      <c r="F32" s="111">
        <v>0.98333329999999997</v>
      </c>
      <c r="G32" s="111">
        <v>0.96428570000000002</v>
      </c>
      <c r="H32" s="111">
        <v>0.83333330000000005</v>
      </c>
      <c r="I32" s="62">
        <f t="shared" si="1"/>
        <v>23</v>
      </c>
      <c r="J32" s="111">
        <v>0.6166666666666667</v>
      </c>
      <c r="K32" s="111">
        <v>0.38333333333333336</v>
      </c>
      <c r="L32" s="7" t="s">
        <v>188</v>
      </c>
      <c r="M32" s="7" t="s">
        <v>254</v>
      </c>
      <c r="N32" s="61">
        <v>1.1079289999999999</v>
      </c>
      <c r="O32" t="str">
        <f t="shared" si="2"/>
        <v>REM</v>
      </c>
      <c r="P32" s="26">
        <f t="shared" si="3"/>
        <v>3</v>
      </c>
      <c r="Q32" s="26">
        <f t="shared" si="4"/>
        <v>2</v>
      </c>
      <c r="R32" s="26">
        <f t="shared" si="5"/>
        <v>3</v>
      </c>
      <c r="S32" s="26">
        <f t="shared" si="6"/>
        <v>2</v>
      </c>
      <c r="T32" s="46">
        <f>IF('AAA Summary'!$L$35=4, RANK(H32,H$8:H$81,1)+COUNTIF($H$8:H32,H32)-1, IF('AAA Summary'!$L$35=3, RANK(G32,G$8:G$81,1)+COUNTIF($G$8:G32,G32)-1, IF('AAA Summary'!$L$35=2, RANK(F32,F$8:F$81,1)+COUNTIF($F$8:F32,F32)-1, IF('AAA Summary'!$L$35=1, RANK(E32,E$8:E$81,1)+COUNTIF($E$8:E32,E32)-1))))</f>
        <v>36</v>
      </c>
      <c r="U32" s="34">
        <f>IF('AAA Summary'!$L$35=4, H32, IF('AAA Summary'!$L$35=3, G32, IF('AAA Summary'!$L$35=2, F32, IF('AAA Summary'!$L$35=1, E32))))</f>
        <v>0.95</v>
      </c>
      <c r="V32">
        <f t="shared" si="7"/>
        <v>30</v>
      </c>
      <c r="W32" s="11">
        <f t="shared" si="8"/>
        <v>61.666666666666671</v>
      </c>
      <c r="X32">
        <v>48.211489999999998</v>
      </c>
      <c r="Y32">
        <v>73.929290000000009</v>
      </c>
      <c r="Z32">
        <f t="shared" si="9"/>
        <v>13.455176666666674</v>
      </c>
      <c r="AA32">
        <f t="shared" si="10"/>
        <v>25.717800000000011</v>
      </c>
      <c r="AB32" t="s">
        <v>984</v>
      </c>
      <c r="AC32">
        <v>159</v>
      </c>
      <c r="AD32">
        <v>91</v>
      </c>
      <c r="AE32">
        <v>270</v>
      </c>
      <c r="AF32">
        <f t="shared" si="11"/>
        <v>68</v>
      </c>
      <c r="AG32">
        <f t="shared" si="12"/>
        <v>111</v>
      </c>
      <c r="AH32" s="59">
        <v>0.18</v>
      </c>
      <c r="AI32">
        <v>17.543859999999999</v>
      </c>
      <c r="AJ32">
        <v>8.7473200000000002</v>
      </c>
      <c r="AK32">
        <v>29.905769999999997</v>
      </c>
      <c r="AL32">
        <f t="shared" si="13"/>
        <v>8.7965399999999985</v>
      </c>
      <c r="AM32">
        <f t="shared" si="14"/>
        <v>12.361909999999998</v>
      </c>
      <c r="AN32">
        <v>59</v>
      </c>
    </row>
    <row r="33" spans="1:40" x14ac:dyDescent="0.25">
      <c r="A33" s="7" t="s">
        <v>12</v>
      </c>
      <c r="B33" s="95" t="s">
        <v>358</v>
      </c>
      <c r="C33" s="7">
        <v>3</v>
      </c>
      <c r="D33" s="7">
        <v>3</v>
      </c>
      <c r="E33" s="111">
        <v>1</v>
      </c>
      <c r="F33" s="111">
        <v>1</v>
      </c>
      <c r="G33" s="111">
        <v>1</v>
      </c>
      <c r="H33" s="111">
        <v>1</v>
      </c>
      <c r="I33" s="62">
        <f t="shared" si="1"/>
        <v>0</v>
      </c>
      <c r="J33" s="111">
        <v>1</v>
      </c>
      <c r="K33" s="111">
        <v>0</v>
      </c>
      <c r="L33" s="7" t="s">
        <v>194</v>
      </c>
      <c r="M33" s="7" t="s">
        <v>604</v>
      </c>
      <c r="N33" s="61">
        <v>0</v>
      </c>
      <c r="O33" t="str">
        <f t="shared" si="2"/>
        <v>R1K</v>
      </c>
      <c r="P33" s="26">
        <f t="shared" si="3"/>
        <v>4</v>
      </c>
      <c r="Q33" s="26">
        <f t="shared" si="4"/>
        <v>4</v>
      </c>
      <c r="R33" s="26">
        <f t="shared" si="5"/>
        <v>4</v>
      </c>
      <c r="S33" s="26">
        <f t="shared" si="6"/>
        <v>4</v>
      </c>
      <c r="T33" s="46">
        <f>IF('AAA Summary'!$L$35=4, RANK(H33,H$8:H$81,1)+COUNTIF($H$8:H33,H33)-1, IF('AAA Summary'!$L$35=3, RANK(G33,G$8:G$81,1)+COUNTIF($G$8:G33,G33)-1, IF('AAA Summary'!$L$35=2, RANK(F33,F$8:F$81,1)+COUNTIF($F$8:F33,F33)-1, IF('AAA Summary'!$L$35=1, RANK(E33,E$8:E$81,1)+COUNTIF($E$8:E33,E33)-1))))</f>
        <v>58</v>
      </c>
      <c r="U33" s="34">
        <f>IF('AAA Summary'!$L$35=4, H33, IF('AAA Summary'!$L$35=3, G33, IF('AAA Summary'!$L$35=2, F33, IF('AAA Summary'!$L$35=1, E33))))</f>
        <v>1</v>
      </c>
      <c r="V33">
        <f t="shared" si="7"/>
        <v>1</v>
      </c>
      <c r="W33" s="11">
        <f t="shared" si="8"/>
        <v>100</v>
      </c>
      <c r="X33" t="e">
        <v>#N/A</v>
      </c>
      <c r="Y33" t="e">
        <v>#N/A</v>
      </c>
      <c r="Z33" t="e">
        <f t="shared" si="9"/>
        <v>#N/A</v>
      </c>
      <c r="AA33" t="e">
        <f t="shared" si="10"/>
        <v>#N/A</v>
      </c>
      <c r="AB33" t="e">
        <v>#N/A</v>
      </c>
      <c r="AC33" t="e">
        <v>#N/A</v>
      </c>
      <c r="AD33" t="e">
        <v>#N/A</v>
      </c>
      <c r="AE33" t="e">
        <v>#N/A</v>
      </c>
      <c r="AF33" t="e">
        <f t="shared" si="11"/>
        <v>#N/A</v>
      </c>
      <c r="AG33" t="e">
        <f t="shared" si="12"/>
        <v>#N/A</v>
      </c>
      <c r="AH33" t="e">
        <v>#N/A</v>
      </c>
      <c r="AI33" t="e">
        <v>#N/A</v>
      </c>
      <c r="AJ33" t="e">
        <v>#N/A</v>
      </c>
      <c r="AK33" t="e">
        <v>#N/A</v>
      </c>
      <c r="AL33" t="e">
        <f t="shared" si="13"/>
        <v>#N/A</v>
      </c>
      <c r="AM33" t="e">
        <f t="shared" si="14"/>
        <v>#N/A</v>
      </c>
      <c r="AN33" t="e">
        <v>#N/A</v>
      </c>
    </row>
    <row r="34" spans="1:40" x14ac:dyDescent="0.25">
      <c r="A34" s="7" t="s">
        <v>8</v>
      </c>
      <c r="B34" s="95" t="s">
        <v>9</v>
      </c>
      <c r="C34" s="7">
        <v>69</v>
      </c>
      <c r="D34" s="7">
        <v>38</v>
      </c>
      <c r="E34" s="111">
        <v>0.95652170000000003</v>
      </c>
      <c r="F34" s="111">
        <v>1</v>
      </c>
      <c r="G34" s="111">
        <v>0.96923079999999995</v>
      </c>
      <c r="H34" s="111">
        <v>0.95652170000000003</v>
      </c>
      <c r="I34" s="62">
        <f t="shared" si="1"/>
        <v>31</v>
      </c>
      <c r="J34" s="111">
        <v>0.55072463768115942</v>
      </c>
      <c r="K34" s="111">
        <v>0.44927536231884058</v>
      </c>
      <c r="L34" s="7" t="s">
        <v>235</v>
      </c>
      <c r="M34" s="7" t="s">
        <v>244</v>
      </c>
      <c r="N34" s="61">
        <v>0</v>
      </c>
      <c r="O34" t="str">
        <f t="shared" si="2"/>
        <v>R0A</v>
      </c>
      <c r="P34" s="26">
        <f t="shared" si="3"/>
        <v>3</v>
      </c>
      <c r="Q34" s="26">
        <f t="shared" si="4"/>
        <v>4</v>
      </c>
      <c r="R34" s="26">
        <f t="shared" si="5"/>
        <v>3</v>
      </c>
      <c r="S34" s="26">
        <f t="shared" si="6"/>
        <v>3</v>
      </c>
      <c r="T34" s="46">
        <f>IF('AAA Summary'!$L$35=4, RANK(H34,H$8:H$81,1)+COUNTIF($H$8:H34,H34)-1, IF('AAA Summary'!$L$35=3, RANK(G34,G$8:G$81,1)+COUNTIF($G$8:G34,G34)-1, IF('AAA Summary'!$L$35=2, RANK(F34,F$8:F$81,1)+COUNTIF($F$8:F34,F34)-1, IF('AAA Summary'!$L$35=1, RANK(E34,E$8:E$81,1)+COUNTIF($E$8:E34,E34)-1))))</f>
        <v>41</v>
      </c>
      <c r="U34" s="34">
        <f>IF('AAA Summary'!$L$35=4, H34, IF('AAA Summary'!$L$35=3, G34, IF('AAA Summary'!$L$35=2, F34, IF('AAA Summary'!$L$35=1, E34))))</f>
        <v>0.95652170000000003</v>
      </c>
      <c r="V34">
        <f t="shared" si="7"/>
        <v>40</v>
      </c>
      <c r="W34" s="11">
        <f t="shared" si="8"/>
        <v>55.072463768115945</v>
      </c>
      <c r="X34">
        <v>42.618580000000001</v>
      </c>
      <c r="Y34">
        <v>67.077020000000005</v>
      </c>
      <c r="Z34">
        <f t="shared" si="9"/>
        <v>12.453883768115944</v>
      </c>
      <c r="AA34">
        <f t="shared" si="10"/>
        <v>24.458440000000003</v>
      </c>
      <c r="AB34" t="s">
        <v>985</v>
      </c>
      <c r="AC34">
        <v>89</v>
      </c>
      <c r="AD34">
        <v>51</v>
      </c>
      <c r="AE34">
        <v>134</v>
      </c>
      <c r="AF34">
        <f t="shared" si="11"/>
        <v>38</v>
      </c>
      <c r="AG34">
        <f t="shared" si="12"/>
        <v>45</v>
      </c>
      <c r="AH34" s="59">
        <v>0.3</v>
      </c>
      <c r="AI34">
        <v>30.303029999999996</v>
      </c>
      <c r="AJ34">
        <v>19.589970000000001</v>
      </c>
      <c r="AK34">
        <v>42.851649999999999</v>
      </c>
      <c r="AL34">
        <f t="shared" si="13"/>
        <v>10.713059999999995</v>
      </c>
      <c r="AM34">
        <f t="shared" si="14"/>
        <v>12.548620000000003</v>
      </c>
      <c r="AN34">
        <v>33</v>
      </c>
    </row>
    <row r="35" spans="1:40" x14ac:dyDescent="0.25">
      <c r="A35" s="7" t="s">
        <v>17</v>
      </c>
      <c r="B35" s="95" t="s">
        <v>504</v>
      </c>
      <c r="C35" s="7">
        <v>46</v>
      </c>
      <c r="D35" s="7">
        <v>40</v>
      </c>
      <c r="E35" s="111">
        <v>0.84782610000000003</v>
      </c>
      <c r="F35" s="111">
        <v>0.97826089999999999</v>
      </c>
      <c r="G35" s="111">
        <v>0.82051280000000004</v>
      </c>
      <c r="H35" s="111">
        <v>0.97826089999999999</v>
      </c>
      <c r="I35" s="62">
        <f t="shared" si="1"/>
        <v>6</v>
      </c>
      <c r="J35" s="111">
        <v>0.86956521739130432</v>
      </c>
      <c r="K35" s="111">
        <v>0.13043478260869565</v>
      </c>
      <c r="L35" s="7" t="s">
        <v>237</v>
      </c>
      <c r="M35" s="7" t="s">
        <v>607</v>
      </c>
      <c r="N35" s="61">
        <v>0.54935750000000005</v>
      </c>
      <c r="O35" t="str">
        <f t="shared" si="2"/>
        <v>RAJ</v>
      </c>
      <c r="P35" s="26">
        <f t="shared" si="3"/>
        <v>1</v>
      </c>
      <c r="Q35" s="26">
        <f t="shared" si="4"/>
        <v>2</v>
      </c>
      <c r="R35" s="26">
        <f t="shared" si="5"/>
        <v>1</v>
      </c>
      <c r="S35" s="26">
        <f t="shared" si="6"/>
        <v>3</v>
      </c>
      <c r="T35" s="46">
        <f>IF('AAA Summary'!$L$35=4, RANK(H35,H$8:H$81,1)+COUNTIF($H$8:H35,H35)-1, IF('AAA Summary'!$L$35=3, RANK(G35,G$8:G$81,1)+COUNTIF($G$8:G35,G35)-1, IF('AAA Summary'!$L$35=2, RANK(F35,F$8:F$81,1)+COUNTIF($F$8:F35,F35)-1, IF('AAA Summary'!$L$35=1, RANK(E35,E$8:E$81,1)+COUNTIF($E$8:E35,E35)-1))))</f>
        <v>18</v>
      </c>
      <c r="U35" s="34">
        <f>IF('AAA Summary'!$L$35=4, H35, IF('AAA Summary'!$L$35=3, G35, IF('AAA Summary'!$L$35=2, F35, IF('AAA Summary'!$L$35=1, E35))))</f>
        <v>0.84782610000000003</v>
      </c>
      <c r="V35">
        <f t="shared" si="7"/>
        <v>8</v>
      </c>
      <c r="W35" s="11">
        <f t="shared" si="8"/>
        <v>86.956521739130437</v>
      </c>
      <c r="X35">
        <v>73.743499999999997</v>
      </c>
      <c r="Y35">
        <v>95.059259999999995</v>
      </c>
      <c r="Z35">
        <f t="shared" si="9"/>
        <v>13.21302173913044</v>
      </c>
      <c r="AA35">
        <f t="shared" si="10"/>
        <v>21.315759999999997</v>
      </c>
      <c r="AB35" t="s">
        <v>986</v>
      </c>
      <c r="AC35">
        <v>78</v>
      </c>
      <c r="AD35">
        <v>54</v>
      </c>
      <c r="AE35">
        <v>118</v>
      </c>
      <c r="AF35">
        <f t="shared" si="11"/>
        <v>24</v>
      </c>
      <c r="AG35">
        <f t="shared" si="12"/>
        <v>40</v>
      </c>
      <c r="AH35" s="59">
        <v>0.26</v>
      </c>
      <c r="AI35">
        <v>25.641029999999997</v>
      </c>
      <c r="AJ35">
        <v>13.037679999999998</v>
      </c>
      <c r="AK35">
        <v>42.127389999999998</v>
      </c>
      <c r="AL35">
        <f t="shared" si="13"/>
        <v>12.603349999999999</v>
      </c>
      <c r="AM35">
        <f t="shared" si="14"/>
        <v>16.486360000000001</v>
      </c>
      <c r="AN35">
        <v>24</v>
      </c>
    </row>
    <row r="36" spans="1:40" x14ac:dyDescent="0.25">
      <c r="A36" s="7" t="s">
        <v>91</v>
      </c>
      <c r="B36" s="95" t="s">
        <v>92</v>
      </c>
      <c r="C36" s="7">
        <v>68</v>
      </c>
      <c r="D36" s="7">
        <v>28</v>
      </c>
      <c r="E36" s="111">
        <v>0.92647060000000003</v>
      </c>
      <c r="F36" s="111">
        <v>1</v>
      </c>
      <c r="G36" s="111">
        <v>0.921875</v>
      </c>
      <c r="H36" s="111">
        <v>0.89705880000000005</v>
      </c>
      <c r="I36" s="62">
        <f t="shared" si="1"/>
        <v>40</v>
      </c>
      <c r="J36" s="111">
        <v>0.41176470588235292</v>
      </c>
      <c r="K36" s="111">
        <v>0.58823529411764708</v>
      </c>
      <c r="L36" s="7" t="s">
        <v>235</v>
      </c>
      <c r="M36" s="7" t="s">
        <v>633</v>
      </c>
      <c r="N36" s="61">
        <v>3.0630459999999999</v>
      </c>
      <c r="O36" t="str">
        <f t="shared" si="2"/>
        <v>RTD</v>
      </c>
      <c r="P36" s="26">
        <f t="shared" si="3"/>
        <v>2</v>
      </c>
      <c r="Q36" s="26">
        <f t="shared" si="4"/>
        <v>4</v>
      </c>
      <c r="R36" s="26">
        <f t="shared" si="5"/>
        <v>2</v>
      </c>
      <c r="S36" s="26">
        <f t="shared" si="6"/>
        <v>2</v>
      </c>
      <c r="T36" s="46">
        <f>IF('AAA Summary'!$L$35=4, RANK(H36,H$8:H$81,1)+COUNTIF($H$8:H36,H36)-1, IF('AAA Summary'!$L$35=3, RANK(G36,G$8:G$81,1)+COUNTIF($G$8:G36,G36)-1, IF('AAA Summary'!$L$35=2, RANK(F36,F$8:F$81,1)+COUNTIF($F$8:F36,F36)-1, IF('AAA Summary'!$L$35=1, RANK(E36,E$8:E$81,1)+COUNTIF($E$8:E36,E36)-1))))</f>
        <v>31</v>
      </c>
      <c r="U36" s="34">
        <f>IF('AAA Summary'!$L$35=4, H36, IF('AAA Summary'!$L$35=3, G36, IF('AAA Summary'!$L$35=2, F36, IF('AAA Summary'!$L$35=1, E36))))</f>
        <v>0.92647060000000003</v>
      </c>
      <c r="V36">
        <f t="shared" si="7"/>
        <v>53</v>
      </c>
      <c r="W36" s="11">
        <f t="shared" si="8"/>
        <v>41.17647058823529</v>
      </c>
      <c r="X36">
        <v>29.373510000000003</v>
      </c>
      <c r="Y36">
        <v>53.773269999999997</v>
      </c>
      <c r="Z36">
        <f t="shared" si="9"/>
        <v>11.802960588235287</v>
      </c>
      <c r="AA36">
        <f t="shared" si="10"/>
        <v>24.399759999999993</v>
      </c>
      <c r="AB36" t="s">
        <v>987</v>
      </c>
      <c r="AC36">
        <v>83</v>
      </c>
      <c r="AD36">
        <v>49</v>
      </c>
      <c r="AE36">
        <v>137</v>
      </c>
      <c r="AF36">
        <f t="shared" si="11"/>
        <v>34</v>
      </c>
      <c r="AG36">
        <f t="shared" si="12"/>
        <v>54</v>
      </c>
      <c r="AH36" s="59">
        <v>0.28999999999999998</v>
      </c>
      <c r="AI36">
        <v>28.571429999999999</v>
      </c>
      <c r="AJ36">
        <v>17.89292</v>
      </c>
      <c r="AK36">
        <v>41.3461</v>
      </c>
      <c r="AL36">
        <f t="shared" si="13"/>
        <v>10.678509999999999</v>
      </c>
      <c r="AM36">
        <f t="shared" si="14"/>
        <v>12.77467</v>
      </c>
      <c r="AN36">
        <v>30</v>
      </c>
    </row>
    <row r="37" spans="1:40" x14ac:dyDescent="0.25">
      <c r="A37" s="7" t="s">
        <v>131</v>
      </c>
      <c r="B37" s="95" t="s">
        <v>132</v>
      </c>
      <c r="C37" s="7">
        <v>2</v>
      </c>
      <c r="D37" s="7">
        <v>0</v>
      </c>
      <c r="E37" s="111">
        <v>1</v>
      </c>
      <c r="F37" s="111">
        <v>1</v>
      </c>
      <c r="G37" s="111">
        <v>1</v>
      </c>
      <c r="H37" s="111">
        <v>1</v>
      </c>
      <c r="I37" s="62">
        <f t="shared" si="1"/>
        <v>2</v>
      </c>
      <c r="J37" s="111">
        <v>0</v>
      </c>
      <c r="K37" s="111">
        <v>1</v>
      </c>
      <c r="L37" s="7" t="s">
        <v>604</v>
      </c>
      <c r="M37" s="7" t="s">
        <v>609</v>
      </c>
      <c r="N37" s="61">
        <v>0</v>
      </c>
      <c r="O37" t="str">
        <f t="shared" si="2"/>
        <v>SA999</v>
      </c>
      <c r="P37" s="26">
        <f t="shared" si="3"/>
        <v>4</v>
      </c>
      <c r="Q37" s="26">
        <f t="shared" si="4"/>
        <v>4</v>
      </c>
      <c r="R37" s="26">
        <f t="shared" si="5"/>
        <v>4</v>
      </c>
      <c r="S37" s="26">
        <f t="shared" si="6"/>
        <v>4</v>
      </c>
      <c r="T37" s="46">
        <f>IF('AAA Summary'!$L$35=4, RANK(H37,H$8:H$81,1)+COUNTIF($H$8:H37,H37)-1, IF('AAA Summary'!$L$35=3, RANK(G37,G$8:G$81,1)+COUNTIF($G$8:G37,G37)-1, IF('AAA Summary'!$L$35=2, RANK(F37,F$8:F$81,1)+COUNTIF($F$8:F37,F37)-1, IF('AAA Summary'!$L$35=1, RANK(E37,E$8:E$81,1)+COUNTIF($E$8:E37,E37)-1))))</f>
        <v>59</v>
      </c>
      <c r="U37" s="34">
        <f>IF('AAA Summary'!$L$35=4, H37, IF('AAA Summary'!$L$35=3, G37, IF('AAA Summary'!$L$35=2, F37, IF('AAA Summary'!$L$35=1, E37))))</f>
        <v>1</v>
      </c>
      <c r="V37">
        <f t="shared" si="7"/>
        <v>69</v>
      </c>
      <c r="W37" s="11">
        <f t="shared" si="8"/>
        <v>0</v>
      </c>
      <c r="X37" t="e">
        <v>#N/A</v>
      </c>
      <c r="Y37" t="e">
        <v>#N/A</v>
      </c>
      <c r="Z37" t="e">
        <f t="shared" si="9"/>
        <v>#N/A</v>
      </c>
      <c r="AA37" t="e">
        <f t="shared" si="10"/>
        <v>#N/A</v>
      </c>
      <c r="AB37" t="e">
        <v>#N/A</v>
      </c>
      <c r="AC37" t="e">
        <v>#N/A</v>
      </c>
      <c r="AD37" t="e">
        <v>#N/A</v>
      </c>
      <c r="AE37" t="e">
        <v>#N/A</v>
      </c>
      <c r="AF37" t="e">
        <f t="shared" si="11"/>
        <v>#N/A</v>
      </c>
      <c r="AG37" t="e">
        <f t="shared" si="12"/>
        <v>#N/A</v>
      </c>
      <c r="AH37" t="e">
        <v>#N/A</v>
      </c>
      <c r="AI37" t="e">
        <v>#N/A</v>
      </c>
      <c r="AJ37" t="e">
        <v>#N/A</v>
      </c>
      <c r="AK37" t="e">
        <v>#N/A</v>
      </c>
      <c r="AL37" t="e">
        <f t="shared" si="13"/>
        <v>#N/A</v>
      </c>
      <c r="AM37" t="e">
        <f t="shared" si="14"/>
        <v>#N/A</v>
      </c>
      <c r="AN37" t="e">
        <v>#N/A</v>
      </c>
    </row>
    <row r="38" spans="1:40" x14ac:dyDescent="0.25">
      <c r="A38" s="7" t="s">
        <v>139</v>
      </c>
      <c r="B38" s="95" t="s">
        <v>140</v>
      </c>
      <c r="C38" s="7">
        <v>27</v>
      </c>
      <c r="D38" s="7">
        <v>19</v>
      </c>
      <c r="E38" s="111">
        <v>0.59259260000000002</v>
      </c>
      <c r="F38" s="111">
        <v>1</v>
      </c>
      <c r="G38" s="111">
        <v>0.59259260000000002</v>
      </c>
      <c r="H38" s="111">
        <v>0.40740739999999998</v>
      </c>
      <c r="I38" s="62">
        <f t="shared" si="1"/>
        <v>8</v>
      </c>
      <c r="J38" s="111">
        <v>0.70370370370370372</v>
      </c>
      <c r="K38" s="111">
        <v>0.29629629629629628</v>
      </c>
      <c r="L38" s="7" t="s">
        <v>235</v>
      </c>
      <c r="M38" s="7" t="s">
        <v>638</v>
      </c>
      <c r="N38" s="61">
        <v>1.60172</v>
      </c>
      <c r="O38" t="str">
        <f t="shared" si="2"/>
        <v>SN999</v>
      </c>
      <c r="P38" s="26">
        <f t="shared" si="3"/>
        <v>1</v>
      </c>
      <c r="Q38" s="26">
        <f t="shared" si="4"/>
        <v>4</v>
      </c>
      <c r="R38" s="26">
        <f t="shared" si="5"/>
        <v>1</v>
      </c>
      <c r="S38" s="26">
        <f t="shared" si="6"/>
        <v>1</v>
      </c>
      <c r="T38" s="46">
        <f>IF('AAA Summary'!$L$35=4, RANK(H38,H$8:H$81,1)+COUNTIF($H$8:H38,H38)-1, IF('AAA Summary'!$L$35=3, RANK(G38,G$8:G$81,1)+COUNTIF($G$8:G38,G38)-1, IF('AAA Summary'!$L$35=2, RANK(F38,F$8:F$81,1)+COUNTIF($F$8:F38,F38)-1, IF('AAA Summary'!$L$35=1, RANK(E38,E$8:E$81,1)+COUNTIF($E$8:E38,E38)-1))))</f>
        <v>3</v>
      </c>
      <c r="U38" s="34">
        <f>IF('AAA Summary'!$L$35=4, H38, IF('AAA Summary'!$L$35=3, G38, IF('AAA Summary'!$L$35=2, F38, IF('AAA Summary'!$L$35=1, E38))))</f>
        <v>0.59259260000000002</v>
      </c>
      <c r="V38">
        <f t="shared" si="7"/>
        <v>22</v>
      </c>
      <c r="W38" s="11">
        <f t="shared" si="8"/>
        <v>70.370370370370367</v>
      </c>
      <c r="X38">
        <v>49.818630000000006</v>
      </c>
      <c r="Y38">
        <v>86.247339999999994</v>
      </c>
      <c r="Z38">
        <f t="shared" si="9"/>
        <v>20.551740370370361</v>
      </c>
      <c r="AA38">
        <f t="shared" si="10"/>
        <v>36.428709999999988</v>
      </c>
      <c r="AB38" t="s">
        <v>988</v>
      </c>
      <c r="AC38">
        <v>140</v>
      </c>
      <c r="AD38">
        <v>89</v>
      </c>
      <c r="AE38">
        <v>167</v>
      </c>
      <c r="AF38">
        <f t="shared" si="11"/>
        <v>51</v>
      </c>
      <c r="AG38">
        <f t="shared" si="12"/>
        <v>27</v>
      </c>
      <c r="AH38" s="59">
        <v>0.19</v>
      </c>
      <c r="AI38">
        <v>18.75</v>
      </c>
      <c r="AJ38">
        <v>4.0473699999999999</v>
      </c>
      <c r="AK38">
        <v>45.645649999999996</v>
      </c>
      <c r="AL38">
        <f t="shared" si="13"/>
        <v>14.702629999999999</v>
      </c>
      <c r="AM38">
        <f t="shared" si="14"/>
        <v>26.895649999999996</v>
      </c>
      <c r="AN38">
        <v>55</v>
      </c>
    </row>
    <row r="39" spans="1:40" x14ac:dyDescent="0.25">
      <c r="A39" s="7" t="s">
        <v>133</v>
      </c>
      <c r="B39" s="95" t="s">
        <v>134</v>
      </c>
      <c r="C39" s="7">
        <v>34</v>
      </c>
      <c r="D39" s="7">
        <v>22</v>
      </c>
      <c r="E39" s="111">
        <v>0.82352939999999997</v>
      </c>
      <c r="F39" s="111">
        <v>0.94117649999999997</v>
      </c>
      <c r="G39" s="111">
        <v>0.8</v>
      </c>
      <c r="H39" s="111">
        <v>0.73529409999999995</v>
      </c>
      <c r="I39" s="62">
        <f t="shared" si="1"/>
        <v>12</v>
      </c>
      <c r="J39" s="111">
        <v>0.6470588235294118</v>
      </c>
      <c r="K39" s="111">
        <v>0.35294117647058826</v>
      </c>
      <c r="L39" s="7" t="s">
        <v>220</v>
      </c>
      <c r="M39" s="7" t="s">
        <v>258</v>
      </c>
      <c r="N39" s="61">
        <v>0.89534689999999995</v>
      </c>
      <c r="O39" t="str">
        <f t="shared" si="2"/>
        <v>SG999</v>
      </c>
      <c r="P39" s="26">
        <f t="shared" si="3"/>
        <v>1</v>
      </c>
      <c r="Q39" s="26">
        <f t="shared" si="4"/>
        <v>1</v>
      </c>
      <c r="R39" s="26">
        <f t="shared" si="5"/>
        <v>1</v>
      </c>
      <c r="S39" s="26">
        <f t="shared" si="6"/>
        <v>1</v>
      </c>
      <c r="T39" s="46">
        <f>IF('AAA Summary'!$L$35=4, RANK(H39,H$8:H$81,1)+COUNTIF($H$8:H39,H39)-1, IF('AAA Summary'!$L$35=3, RANK(G39,G$8:G$81,1)+COUNTIF($G$8:G39,G39)-1, IF('AAA Summary'!$L$35=2, RANK(F39,F$8:F$81,1)+COUNTIF($F$8:F39,F39)-1, IF('AAA Summary'!$L$35=1, RANK(E39,E$8:E$81,1)+COUNTIF($E$8:E39,E39)-1))))</f>
        <v>13</v>
      </c>
      <c r="U39" s="34">
        <f>IF('AAA Summary'!$L$35=4, H39, IF('AAA Summary'!$L$35=3, G39, IF('AAA Summary'!$L$35=2, F39, IF('AAA Summary'!$L$35=1, E39))))</f>
        <v>0.82352939999999997</v>
      </c>
      <c r="V39">
        <f t="shared" si="7"/>
        <v>25</v>
      </c>
      <c r="W39" s="11">
        <f t="shared" si="8"/>
        <v>64.705882352941174</v>
      </c>
      <c r="X39">
        <v>46.488639999999997</v>
      </c>
      <c r="Y39">
        <v>80.254139999999992</v>
      </c>
      <c r="Z39">
        <f t="shared" si="9"/>
        <v>18.217242352941177</v>
      </c>
      <c r="AA39">
        <f t="shared" si="10"/>
        <v>33.765499999999996</v>
      </c>
      <c r="AB39" t="s">
        <v>989</v>
      </c>
      <c r="AC39">
        <v>48</v>
      </c>
      <c r="AD39">
        <v>36</v>
      </c>
      <c r="AE39">
        <v>95</v>
      </c>
      <c r="AF39">
        <f t="shared" si="11"/>
        <v>12</v>
      </c>
      <c r="AG39">
        <f t="shared" si="12"/>
        <v>47</v>
      </c>
      <c r="AH39" s="59">
        <v>0.54</v>
      </c>
      <c r="AI39">
        <v>53.571429999999999</v>
      </c>
      <c r="AJ39">
        <v>33.869909999999997</v>
      </c>
      <c r="AK39">
        <v>72.489139999999992</v>
      </c>
      <c r="AL39">
        <f t="shared" si="13"/>
        <v>19.701520000000002</v>
      </c>
      <c r="AM39">
        <f t="shared" si="14"/>
        <v>18.917709999999992</v>
      </c>
      <c r="AN39">
        <v>2</v>
      </c>
    </row>
    <row r="40" spans="1:40" x14ac:dyDescent="0.25">
      <c r="A40" s="7" t="s">
        <v>135</v>
      </c>
      <c r="B40" s="95" t="s">
        <v>136</v>
      </c>
      <c r="C40" s="7">
        <v>18</v>
      </c>
      <c r="D40" s="7">
        <v>7</v>
      </c>
      <c r="E40" s="111">
        <v>1</v>
      </c>
      <c r="F40" s="111">
        <v>1</v>
      </c>
      <c r="G40" s="111">
        <v>1</v>
      </c>
      <c r="H40" s="111">
        <v>1</v>
      </c>
      <c r="I40" s="62">
        <f t="shared" ref="I40:I71" si="15">C40-D40</f>
        <v>11</v>
      </c>
      <c r="J40" s="111">
        <v>0.3888888888888889</v>
      </c>
      <c r="K40" s="111">
        <v>0.61111111111111116</v>
      </c>
      <c r="L40" s="7" t="s">
        <v>241</v>
      </c>
      <c r="M40" s="7" t="s">
        <v>259</v>
      </c>
      <c r="N40" s="61">
        <v>1.7933619999999999</v>
      </c>
      <c r="O40" t="str">
        <f t="shared" ref="O40:O71" si="16">A40</f>
        <v>SH999</v>
      </c>
      <c r="P40" s="26">
        <f t="shared" ref="P40:P71" si="17">+IF(E40&lt;E$2,1,IF(E40&lt;E$3,2,IF(E40&lt;E$4,3,4)))</f>
        <v>4</v>
      </c>
      <c r="Q40" s="26">
        <f t="shared" ref="Q40:Q71" si="18">+IF(F40&lt;F$2,1,IF(F40&lt;F$3,2,IF(F40&lt;F$4,3,4)))</f>
        <v>4</v>
      </c>
      <c r="R40" s="26">
        <f t="shared" ref="R40:R71" si="19">+IF(G40&lt;G$2,1,IF(G40&lt;G$3,2,IF(G40&lt;G$4,3,4)))</f>
        <v>4</v>
      </c>
      <c r="S40" s="26">
        <f t="shared" ref="S40:S71" si="20">+IF(H40&lt;H$2,1,IF(H40&lt;H$3,2,IF(H40&lt;H$4,3,4)))</f>
        <v>4</v>
      </c>
      <c r="T40" s="46">
        <f>IF('AAA Summary'!$L$35=4, RANK(H40,H$8:H$81,1)+COUNTIF($H$8:H40,H40)-1, IF('AAA Summary'!$L$35=3, RANK(G40,G$8:G$81,1)+COUNTIF($G$8:G40,G40)-1, IF('AAA Summary'!$L$35=2, RANK(F40,F$8:F$81,1)+COUNTIF($F$8:F40,F40)-1, IF('AAA Summary'!$L$35=1, RANK(E40,E$8:E$81,1)+COUNTIF($E$8:E40,E40)-1))))</f>
        <v>60</v>
      </c>
      <c r="U40" s="34">
        <f>IF('AAA Summary'!$L$35=4, H40, IF('AAA Summary'!$L$35=3, G40, IF('AAA Summary'!$L$35=2, F40, IF('AAA Summary'!$L$35=1, E40))))</f>
        <v>1</v>
      </c>
      <c r="V40">
        <f t="shared" ref="V40:V71" si="21">RANK(J40,$J$8:$J$77)</f>
        <v>59</v>
      </c>
      <c r="W40" s="11">
        <f t="shared" si="8"/>
        <v>38.888888888888893</v>
      </c>
      <c r="X40">
        <v>17.298590000000001</v>
      </c>
      <c r="Y40">
        <v>64.25488</v>
      </c>
      <c r="Z40">
        <f t="shared" si="9"/>
        <v>21.590298888888892</v>
      </c>
      <c r="AA40">
        <f t="shared" si="10"/>
        <v>46.956289999999996</v>
      </c>
      <c r="AB40" t="s">
        <v>990</v>
      </c>
      <c r="AC40">
        <v>61</v>
      </c>
      <c r="AD40">
        <v>49</v>
      </c>
      <c r="AE40">
        <v>97</v>
      </c>
      <c r="AF40">
        <f t="shared" si="11"/>
        <v>12</v>
      </c>
      <c r="AG40">
        <f t="shared" si="12"/>
        <v>36</v>
      </c>
      <c r="AH40" s="59">
        <v>0.39</v>
      </c>
      <c r="AI40">
        <v>38.888889999999996</v>
      </c>
      <c r="AJ40">
        <v>17.298590000000001</v>
      </c>
      <c r="AK40">
        <v>64.25488</v>
      </c>
      <c r="AL40">
        <f t="shared" si="13"/>
        <v>21.590299999999996</v>
      </c>
      <c r="AM40">
        <f t="shared" si="14"/>
        <v>25.365990000000004</v>
      </c>
      <c r="AN40">
        <v>6</v>
      </c>
    </row>
    <row r="41" spans="1:40" x14ac:dyDescent="0.25">
      <c r="A41" s="7" t="s">
        <v>137</v>
      </c>
      <c r="B41" s="95" t="s">
        <v>138</v>
      </c>
      <c r="C41" s="7">
        <v>34</v>
      </c>
      <c r="D41" s="7">
        <v>16</v>
      </c>
      <c r="E41" s="111">
        <v>0.55882350000000003</v>
      </c>
      <c r="F41" s="111">
        <v>1</v>
      </c>
      <c r="G41" s="111">
        <v>0.64285709999999996</v>
      </c>
      <c r="H41" s="111">
        <v>0.47058820000000001</v>
      </c>
      <c r="I41" s="62">
        <f t="shared" si="15"/>
        <v>18</v>
      </c>
      <c r="J41" s="111">
        <v>0.47058823529411764</v>
      </c>
      <c r="K41" s="111">
        <v>0.52941176470588236</v>
      </c>
      <c r="L41" s="7" t="s">
        <v>636</v>
      </c>
      <c r="M41" s="7" t="s">
        <v>637</v>
      </c>
      <c r="N41" s="61">
        <v>2.738289</v>
      </c>
      <c r="O41" t="str">
        <f t="shared" si="16"/>
        <v>SL999</v>
      </c>
      <c r="P41" s="26">
        <f t="shared" si="17"/>
        <v>1</v>
      </c>
      <c r="Q41" s="26">
        <f t="shared" si="18"/>
        <v>4</v>
      </c>
      <c r="R41" s="26">
        <f t="shared" si="19"/>
        <v>1</v>
      </c>
      <c r="S41" s="26">
        <f t="shared" si="20"/>
        <v>1</v>
      </c>
      <c r="T41" s="46">
        <f>IF('AAA Summary'!$L$35=4, RANK(H41,H$8:H$81,1)+COUNTIF($H$8:H41,H41)-1, IF('AAA Summary'!$L$35=3, RANK(G41,G$8:G$81,1)+COUNTIF($G$8:G41,G41)-1, IF('AAA Summary'!$L$35=2, RANK(F41,F$8:F$81,1)+COUNTIF($F$8:F41,F41)-1, IF('AAA Summary'!$L$35=1, RANK(E41,E$8:E$81,1)+COUNTIF($E$8:E41,E41)-1))))</f>
        <v>2</v>
      </c>
      <c r="U41" s="34">
        <f>IF('AAA Summary'!$L$35=4, H41, IF('AAA Summary'!$L$35=3, G41, IF('AAA Summary'!$L$35=2, F41, IF('AAA Summary'!$L$35=1, E41))))</f>
        <v>0.55882350000000003</v>
      </c>
      <c r="V41">
        <f t="shared" si="21"/>
        <v>48</v>
      </c>
      <c r="W41" s="11">
        <f t="shared" si="8"/>
        <v>47.058823529411761</v>
      </c>
      <c r="X41">
        <v>29.778670000000002</v>
      </c>
      <c r="Y41">
        <v>64.870720000000006</v>
      </c>
      <c r="Z41">
        <f t="shared" si="9"/>
        <v>17.280153529411759</v>
      </c>
      <c r="AA41">
        <f t="shared" si="10"/>
        <v>35.09205</v>
      </c>
      <c r="AB41" t="s">
        <v>991</v>
      </c>
      <c r="AC41">
        <v>116</v>
      </c>
      <c r="AD41">
        <v>51</v>
      </c>
      <c r="AE41">
        <v>222</v>
      </c>
      <c r="AF41">
        <f t="shared" si="11"/>
        <v>65</v>
      </c>
      <c r="AG41">
        <f t="shared" si="12"/>
        <v>106</v>
      </c>
      <c r="AH41" s="59">
        <v>0.26</v>
      </c>
      <c r="AI41">
        <v>26.31579</v>
      </c>
      <c r="AJ41">
        <v>9.1465800000000002</v>
      </c>
      <c r="AK41">
        <v>51.202930000000002</v>
      </c>
      <c r="AL41">
        <f t="shared" si="13"/>
        <v>17.16921</v>
      </c>
      <c r="AM41">
        <f t="shared" si="14"/>
        <v>24.887140000000002</v>
      </c>
      <c r="AN41">
        <v>47</v>
      </c>
    </row>
    <row r="42" spans="1:40" x14ac:dyDescent="0.25">
      <c r="A42" s="7" t="s">
        <v>141</v>
      </c>
      <c r="B42" s="95" t="s">
        <v>142</v>
      </c>
      <c r="C42" s="7">
        <v>42</v>
      </c>
      <c r="D42" s="7">
        <v>16</v>
      </c>
      <c r="E42" s="111">
        <v>0.97619040000000001</v>
      </c>
      <c r="F42" s="111">
        <v>1</v>
      </c>
      <c r="G42" s="111">
        <v>0.9736842</v>
      </c>
      <c r="H42" s="111">
        <v>0.92857140000000005</v>
      </c>
      <c r="I42" s="62">
        <f t="shared" si="15"/>
        <v>26</v>
      </c>
      <c r="J42" s="111">
        <v>0.38095238095238093</v>
      </c>
      <c r="K42" s="111">
        <v>0.61904761904761907</v>
      </c>
      <c r="L42" s="7" t="s">
        <v>639</v>
      </c>
      <c r="M42" s="7" t="s">
        <v>640</v>
      </c>
      <c r="N42" s="61">
        <v>1.0804560000000001</v>
      </c>
      <c r="O42" t="str">
        <f t="shared" si="16"/>
        <v>SS999</v>
      </c>
      <c r="P42" s="26">
        <f t="shared" si="17"/>
        <v>3</v>
      </c>
      <c r="Q42" s="26">
        <f t="shared" si="18"/>
        <v>4</v>
      </c>
      <c r="R42" s="26">
        <f t="shared" si="19"/>
        <v>3</v>
      </c>
      <c r="S42" s="26">
        <f t="shared" si="20"/>
        <v>3</v>
      </c>
      <c r="T42" s="46">
        <f>IF('AAA Summary'!$L$35=4, RANK(H42,H$8:H$81,1)+COUNTIF($H$8:H42,H42)-1, IF('AAA Summary'!$L$35=3, RANK(G42,G$8:G$81,1)+COUNTIF($G$8:G42,G42)-1, IF('AAA Summary'!$L$35=2, RANK(F42,F$8:F$81,1)+COUNTIF($F$8:F42,F42)-1, IF('AAA Summary'!$L$35=1, RANK(E42,E$8:E$81,1)+COUNTIF($E$8:E42,E42)-1))))</f>
        <v>47</v>
      </c>
      <c r="U42" s="34">
        <f>IF('AAA Summary'!$L$35=4, H42, IF('AAA Summary'!$L$35=3, G42, IF('AAA Summary'!$L$35=2, F42, IF('AAA Summary'!$L$35=1, E42))))</f>
        <v>0.97619040000000001</v>
      </c>
      <c r="V42">
        <f t="shared" si="21"/>
        <v>62</v>
      </c>
      <c r="W42" s="11">
        <f t="shared" si="8"/>
        <v>38.095238095238095</v>
      </c>
      <c r="X42">
        <v>23.572050000000001</v>
      </c>
      <c r="Y42">
        <v>54.363249999999994</v>
      </c>
      <c r="Z42">
        <f t="shared" si="9"/>
        <v>14.523188095238094</v>
      </c>
      <c r="AA42">
        <f t="shared" si="10"/>
        <v>30.791199999999993</v>
      </c>
      <c r="AB42" t="s">
        <v>992</v>
      </c>
      <c r="AC42">
        <v>78</v>
      </c>
      <c r="AD42">
        <v>57</v>
      </c>
      <c r="AE42">
        <v>137</v>
      </c>
      <c r="AF42">
        <f t="shared" si="11"/>
        <v>21</v>
      </c>
      <c r="AG42">
        <f t="shared" si="12"/>
        <v>59</v>
      </c>
      <c r="AH42" s="59">
        <v>0.24</v>
      </c>
      <c r="AI42">
        <v>24.390239999999999</v>
      </c>
      <c r="AJ42">
        <v>12.363250000000001</v>
      </c>
      <c r="AK42">
        <v>40.304630000000003</v>
      </c>
      <c r="AL42">
        <f t="shared" si="13"/>
        <v>12.026989999999998</v>
      </c>
      <c r="AM42">
        <f t="shared" si="14"/>
        <v>15.914390000000004</v>
      </c>
      <c r="AN42">
        <v>25</v>
      </c>
    </row>
    <row r="43" spans="1:40" x14ac:dyDescent="0.25">
      <c r="A43" s="7" t="s">
        <v>143</v>
      </c>
      <c r="B43" s="95" t="s">
        <v>144</v>
      </c>
      <c r="C43" s="7">
        <v>25</v>
      </c>
      <c r="D43" s="7">
        <v>9</v>
      </c>
      <c r="E43" s="111">
        <v>1</v>
      </c>
      <c r="F43" s="111">
        <v>0.96</v>
      </c>
      <c r="G43" s="111">
        <v>1</v>
      </c>
      <c r="H43" s="111">
        <v>1</v>
      </c>
      <c r="I43" s="62">
        <f t="shared" si="15"/>
        <v>16</v>
      </c>
      <c r="J43" s="111">
        <v>0.36</v>
      </c>
      <c r="K43" s="111">
        <v>0.64</v>
      </c>
      <c r="L43" s="7" t="s">
        <v>641</v>
      </c>
      <c r="M43" s="7" t="s">
        <v>642</v>
      </c>
      <c r="N43" s="61">
        <v>0</v>
      </c>
      <c r="O43" t="str">
        <f t="shared" si="16"/>
        <v>ST999</v>
      </c>
      <c r="P43" s="26">
        <f t="shared" si="17"/>
        <v>4</v>
      </c>
      <c r="Q43" s="26">
        <f t="shared" si="18"/>
        <v>1</v>
      </c>
      <c r="R43" s="26">
        <f t="shared" si="19"/>
        <v>4</v>
      </c>
      <c r="S43" s="26">
        <f t="shared" si="20"/>
        <v>4</v>
      </c>
      <c r="T43" s="46">
        <f>IF('AAA Summary'!$L$35=4, RANK(H43,H$8:H$81,1)+COUNTIF($H$8:H43,H43)-1, IF('AAA Summary'!$L$35=3, RANK(G43,G$8:G$81,1)+COUNTIF($G$8:G43,G43)-1, IF('AAA Summary'!$L$35=2, RANK(F43,F$8:F$81,1)+COUNTIF($F$8:F43,F43)-1, IF('AAA Summary'!$L$35=1, RANK(E43,E$8:E$81,1)+COUNTIF($E$8:E43,E43)-1))))</f>
        <v>61</v>
      </c>
      <c r="U43" s="34">
        <f>IF('AAA Summary'!$L$35=4, H43, IF('AAA Summary'!$L$35=3, G43, IF('AAA Summary'!$L$35=2, F43, IF('AAA Summary'!$L$35=1, E43))))</f>
        <v>1</v>
      </c>
      <c r="V43">
        <f t="shared" si="21"/>
        <v>63</v>
      </c>
      <c r="W43" s="11">
        <f t="shared" si="8"/>
        <v>36</v>
      </c>
      <c r="X43">
        <v>17.971679999999999</v>
      </c>
      <c r="Y43">
        <v>57.47936</v>
      </c>
      <c r="Z43">
        <f t="shared" si="9"/>
        <v>18.028320000000001</v>
      </c>
      <c r="AA43">
        <f t="shared" si="10"/>
        <v>39.507680000000001</v>
      </c>
      <c r="AB43" t="s">
        <v>993</v>
      </c>
      <c r="AC43">
        <v>148</v>
      </c>
      <c r="AD43">
        <v>132</v>
      </c>
      <c r="AE43">
        <v>216</v>
      </c>
      <c r="AF43">
        <f t="shared" si="11"/>
        <v>16</v>
      </c>
      <c r="AG43">
        <f t="shared" si="12"/>
        <v>68</v>
      </c>
      <c r="AH43" s="59">
        <v>0.12</v>
      </c>
      <c r="AI43">
        <v>12</v>
      </c>
      <c r="AJ43">
        <v>2.5465399999999998</v>
      </c>
      <c r="AK43">
        <v>31.219029999999997</v>
      </c>
      <c r="AL43">
        <f t="shared" si="13"/>
        <v>9.4534599999999998</v>
      </c>
      <c r="AM43">
        <f t="shared" si="14"/>
        <v>19.219029999999997</v>
      </c>
      <c r="AN43">
        <v>56</v>
      </c>
    </row>
    <row r="44" spans="1:40" x14ac:dyDescent="0.25">
      <c r="A44" s="7" t="s">
        <v>65</v>
      </c>
      <c r="B44" s="95" t="s">
        <v>66</v>
      </c>
      <c r="C44" s="7">
        <v>71</v>
      </c>
      <c r="D44" s="7">
        <v>37</v>
      </c>
      <c r="E44" s="111">
        <v>0.971831</v>
      </c>
      <c r="F44" s="111">
        <v>0.971831</v>
      </c>
      <c r="G44" s="111">
        <v>0.98507460000000002</v>
      </c>
      <c r="H44" s="111">
        <v>0.83098590000000006</v>
      </c>
      <c r="I44" s="62">
        <f t="shared" si="15"/>
        <v>34</v>
      </c>
      <c r="J44" s="111">
        <v>0.52112676056338025</v>
      </c>
      <c r="K44" s="111">
        <v>0.47887323943661969</v>
      </c>
      <c r="L44" s="7" t="s">
        <v>220</v>
      </c>
      <c r="M44" s="7" t="s">
        <v>621</v>
      </c>
      <c r="N44" s="61">
        <v>0.96944390000000003</v>
      </c>
      <c r="O44" t="str">
        <f t="shared" si="16"/>
        <v>RM1</v>
      </c>
      <c r="P44" s="26">
        <f t="shared" si="17"/>
        <v>3</v>
      </c>
      <c r="Q44" s="26">
        <f t="shared" si="18"/>
        <v>1</v>
      </c>
      <c r="R44" s="26">
        <f t="shared" si="19"/>
        <v>3</v>
      </c>
      <c r="S44" s="26">
        <f t="shared" si="20"/>
        <v>2</v>
      </c>
      <c r="T44" s="46">
        <f>IF('AAA Summary'!$L$35=4, RANK(H44,H$8:H$81,1)+COUNTIF($H$8:H44,H44)-1, IF('AAA Summary'!$L$35=3, RANK(G44,G$8:G$81,1)+COUNTIF($G$8:G44,G44)-1, IF('AAA Summary'!$L$35=2, RANK(F44,F$8:F$81,1)+COUNTIF($F$8:F44,F44)-1, IF('AAA Summary'!$L$35=1, RANK(E44,E$8:E$81,1)+COUNTIF($E$8:E44,E44)-1))))</f>
        <v>45</v>
      </c>
      <c r="U44" s="34">
        <f>IF('AAA Summary'!$L$35=4, H44, IF('AAA Summary'!$L$35=3, G44, IF('AAA Summary'!$L$35=2, F44, IF('AAA Summary'!$L$35=1, E44))))</f>
        <v>0.971831</v>
      </c>
      <c r="V44">
        <f t="shared" si="21"/>
        <v>44</v>
      </c>
      <c r="W44" s="11">
        <f t="shared" si="8"/>
        <v>52.112676056338024</v>
      </c>
      <c r="X44">
        <v>39.921520000000001</v>
      </c>
      <c r="Y44">
        <v>64.122079999999997</v>
      </c>
      <c r="Z44">
        <f t="shared" si="9"/>
        <v>12.191156056338023</v>
      </c>
      <c r="AA44">
        <f t="shared" si="10"/>
        <v>24.200559999999996</v>
      </c>
      <c r="AB44" t="s">
        <v>994</v>
      </c>
      <c r="AC44">
        <v>65</v>
      </c>
      <c r="AD44">
        <v>32</v>
      </c>
      <c r="AE44">
        <v>107</v>
      </c>
      <c r="AF44">
        <f t="shared" si="11"/>
        <v>33</v>
      </c>
      <c r="AG44">
        <f t="shared" si="12"/>
        <v>42</v>
      </c>
      <c r="AH44" s="59">
        <v>0.45</v>
      </c>
      <c r="AI44">
        <v>44.92754</v>
      </c>
      <c r="AJ44">
        <v>32.922989999999999</v>
      </c>
      <c r="AK44">
        <v>57.381420000000006</v>
      </c>
      <c r="AL44">
        <f t="shared" si="13"/>
        <v>12.004550000000002</v>
      </c>
      <c r="AM44">
        <f t="shared" si="14"/>
        <v>12.453880000000005</v>
      </c>
      <c r="AN44">
        <v>11</v>
      </c>
    </row>
    <row r="45" spans="1:40" x14ac:dyDescent="0.25">
      <c r="A45" s="7" t="s">
        <v>100</v>
      </c>
      <c r="B45" s="95" t="s">
        <v>101</v>
      </c>
      <c r="C45" s="7">
        <v>36</v>
      </c>
      <c r="D45" s="7">
        <v>23</v>
      </c>
      <c r="E45" s="111">
        <v>1</v>
      </c>
      <c r="F45" s="111">
        <v>1</v>
      </c>
      <c r="G45" s="111">
        <v>1</v>
      </c>
      <c r="H45" s="111">
        <v>1</v>
      </c>
      <c r="I45" s="62">
        <f t="shared" si="15"/>
        <v>13</v>
      </c>
      <c r="J45" s="111">
        <v>0.63888888888888884</v>
      </c>
      <c r="K45" s="111">
        <v>0.3611111111111111</v>
      </c>
      <c r="L45" s="7" t="s">
        <v>235</v>
      </c>
      <c r="M45" s="7" t="s">
        <v>244</v>
      </c>
      <c r="N45" s="61">
        <v>1.637424</v>
      </c>
      <c r="O45" t="str">
        <f t="shared" si="16"/>
        <v>RVJ</v>
      </c>
      <c r="P45" s="26">
        <f t="shared" si="17"/>
        <v>4</v>
      </c>
      <c r="Q45" s="26">
        <f t="shared" si="18"/>
        <v>4</v>
      </c>
      <c r="R45" s="26">
        <f t="shared" si="19"/>
        <v>4</v>
      </c>
      <c r="S45" s="26">
        <f t="shared" si="20"/>
        <v>4</v>
      </c>
      <c r="T45" s="46">
        <f>IF('AAA Summary'!$L$35=4, RANK(H45,H$8:H$81,1)+COUNTIF($H$8:H45,H45)-1, IF('AAA Summary'!$L$35=3, RANK(G45,G$8:G$81,1)+COUNTIF($G$8:G45,G45)-1, IF('AAA Summary'!$L$35=2, RANK(F45,F$8:F$81,1)+COUNTIF($F$8:F45,F45)-1, IF('AAA Summary'!$L$35=1, RANK(E45,E$8:E$81,1)+COUNTIF($E$8:E45,E45)-1))))</f>
        <v>62</v>
      </c>
      <c r="U45" s="34">
        <f>IF('AAA Summary'!$L$35=4, H45, IF('AAA Summary'!$L$35=3, G45, IF('AAA Summary'!$L$35=2, F45, IF('AAA Summary'!$L$35=1, E45))))</f>
        <v>1</v>
      </c>
      <c r="V45">
        <f t="shared" si="21"/>
        <v>26</v>
      </c>
      <c r="W45" s="11">
        <f t="shared" si="8"/>
        <v>63.888888888888886</v>
      </c>
      <c r="X45">
        <v>46.2209</v>
      </c>
      <c r="Y45">
        <v>79.177710000000005</v>
      </c>
      <c r="Z45">
        <f t="shared" si="9"/>
        <v>17.667988888888885</v>
      </c>
      <c r="AA45">
        <f t="shared" si="10"/>
        <v>32.956810000000004</v>
      </c>
      <c r="AB45" t="s">
        <v>995</v>
      </c>
      <c r="AC45">
        <v>78</v>
      </c>
      <c r="AD45">
        <v>44</v>
      </c>
      <c r="AE45">
        <v>128</v>
      </c>
      <c r="AF45">
        <f t="shared" si="11"/>
        <v>34</v>
      </c>
      <c r="AG45">
        <f t="shared" si="12"/>
        <v>50</v>
      </c>
      <c r="AH45" s="59">
        <v>0.42</v>
      </c>
      <c r="AI45">
        <v>41.666670000000003</v>
      </c>
      <c r="AJ45">
        <v>25.514099999999999</v>
      </c>
      <c r="AK45">
        <v>59.243480000000005</v>
      </c>
      <c r="AL45">
        <f t="shared" si="13"/>
        <v>16.152570000000004</v>
      </c>
      <c r="AM45">
        <f t="shared" si="14"/>
        <v>17.576810000000002</v>
      </c>
      <c r="AN45">
        <v>23</v>
      </c>
    </row>
    <row r="46" spans="1:40" x14ac:dyDescent="0.25">
      <c r="A46" s="7" t="s">
        <v>626</v>
      </c>
      <c r="B46" t="s">
        <v>518</v>
      </c>
      <c r="C46" s="7">
        <v>18</v>
      </c>
      <c r="D46" s="7">
        <v>10</v>
      </c>
      <c r="E46" s="111">
        <v>1</v>
      </c>
      <c r="F46" s="111">
        <v>1</v>
      </c>
      <c r="G46" s="111">
        <v>1</v>
      </c>
      <c r="H46" s="111">
        <v>1</v>
      </c>
      <c r="I46" s="62">
        <f t="shared" si="15"/>
        <v>8</v>
      </c>
      <c r="J46" s="111">
        <v>0.55555555555555558</v>
      </c>
      <c r="K46" s="111">
        <v>0.44444444444444442</v>
      </c>
      <c r="L46" s="7" t="s">
        <v>241</v>
      </c>
      <c r="M46" s="7" t="s">
        <v>627</v>
      </c>
      <c r="N46" s="61">
        <v>1.5082450000000001</v>
      </c>
      <c r="O46" t="str">
        <f t="shared" si="16"/>
        <v>RNN</v>
      </c>
      <c r="P46" s="26">
        <f t="shared" si="17"/>
        <v>4</v>
      </c>
      <c r="Q46" s="26">
        <f t="shared" si="18"/>
        <v>4</v>
      </c>
      <c r="R46" s="26">
        <f t="shared" si="19"/>
        <v>4</v>
      </c>
      <c r="S46" s="26">
        <f t="shared" si="20"/>
        <v>4</v>
      </c>
      <c r="T46" s="46">
        <f>IF('AAA Summary'!$L$35=4, RANK(H46,H$8:H$81,1)+COUNTIF($H$8:H46,H46)-1, IF('AAA Summary'!$L$35=3, RANK(G46,G$8:G$81,1)+COUNTIF($G$8:G46,G46)-1, IF('AAA Summary'!$L$35=2, RANK(F46,F$8:F$81,1)+COUNTIF($F$8:F46,F46)-1, IF('AAA Summary'!$L$35=1, RANK(E46,E$8:E$81,1)+COUNTIF($E$8:E46,E46)-1))))</f>
        <v>63</v>
      </c>
      <c r="U46" s="34">
        <f>IF('AAA Summary'!$L$35=4, H46, IF('AAA Summary'!$L$35=3, G46, IF('AAA Summary'!$L$35=2, F46, IF('AAA Summary'!$L$35=1, E46))))</f>
        <v>1</v>
      </c>
      <c r="V46">
        <f t="shared" si="21"/>
        <v>38</v>
      </c>
      <c r="W46" s="11">
        <f t="shared" si="8"/>
        <v>55.555555555555557</v>
      </c>
      <c r="X46">
        <v>30.757159999999999</v>
      </c>
      <c r="Y46">
        <v>78.469849999999994</v>
      </c>
      <c r="Z46">
        <f t="shared" si="9"/>
        <v>24.798395555555558</v>
      </c>
      <c r="AA46">
        <f t="shared" si="10"/>
        <v>47.712689999999995</v>
      </c>
      <c r="AB46" t="s">
        <v>996</v>
      </c>
      <c r="AC46">
        <v>83</v>
      </c>
      <c r="AD46">
        <v>49</v>
      </c>
      <c r="AE46">
        <v>117</v>
      </c>
      <c r="AF46">
        <f t="shared" si="11"/>
        <v>34</v>
      </c>
      <c r="AG46">
        <f t="shared" si="12"/>
        <v>34</v>
      </c>
      <c r="AH46" s="59">
        <v>0.28000000000000003</v>
      </c>
      <c r="AI46">
        <v>27.777780000000003</v>
      </c>
      <c r="AJ46">
        <v>9.6949199999999998</v>
      </c>
      <c r="AK46">
        <v>53.480199999999996</v>
      </c>
      <c r="AL46">
        <f t="shared" si="13"/>
        <v>18.082860000000004</v>
      </c>
      <c r="AM46">
        <f t="shared" si="14"/>
        <v>25.702419999999993</v>
      </c>
      <c r="AN46">
        <v>29</v>
      </c>
    </row>
    <row r="47" spans="1:40" x14ac:dyDescent="0.25">
      <c r="A47" s="7" t="s">
        <v>72</v>
      </c>
      <c r="B47" s="95" t="s">
        <v>73</v>
      </c>
      <c r="C47" s="7">
        <v>41</v>
      </c>
      <c r="D47" s="7">
        <v>16</v>
      </c>
      <c r="E47" s="111">
        <v>0.9512195</v>
      </c>
      <c r="F47" s="111">
        <v>0.9512195</v>
      </c>
      <c r="G47" s="111">
        <v>0.94594590000000001</v>
      </c>
      <c r="H47" s="111">
        <v>0.92682929999999997</v>
      </c>
      <c r="I47" s="62">
        <f t="shared" si="15"/>
        <v>25</v>
      </c>
      <c r="J47" s="111">
        <v>0.3902439024390244</v>
      </c>
      <c r="K47" s="111">
        <v>0.6097560975609756</v>
      </c>
      <c r="L47" s="7" t="s">
        <v>628</v>
      </c>
      <c r="M47" s="7" t="s">
        <v>187</v>
      </c>
      <c r="N47" s="61">
        <v>1.94313</v>
      </c>
      <c r="O47" t="str">
        <f t="shared" si="16"/>
        <v>RNS</v>
      </c>
      <c r="P47" s="26">
        <f t="shared" si="17"/>
        <v>3</v>
      </c>
      <c r="Q47" s="26">
        <f t="shared" si="18"/>
        <v>1</v>
      </c>
      <c r="R47" s="26">
        <f t="shared" si="19"/>
        <v>2</v>
      </c>
      <c r="S47" s="26">
        <f t="shared" si="20"/>
        <v>3</v>
      </c>
      <c r="T47" s="46">
        <f>IF('AAA Summary'!$L$35=4, RANK(H47,H$8:H$81,1)+COUNTIF($H$8:H47,H47)-1, IF('AAA Summary'!$L$35=3, RANK(G47,G$8:G$81,1)+COUNTIF($G$8:G47,G47)-1, IF('AAA Summary'!$L$35=2, RANK(F47,F$8:F$81,1)+COUNTIF($F$8:F47,F47)-1, IF('AAA Summary'!$L$35=1, RANK(E47,E$8:E$81,1)+COUNTIF($E$8:E47,E47)-1))))</f>
        <v>37</v>
      </c>
      <c r="U47" s="34">
        <f>IF('AAA Summary'!$L$35=4, H47, IF('AAA Summary'!$L$35=3, G47, IF('AAA Summary'!$L$35=2, F47, IF('AAA Summary'!$L$35=1, E47))))</f>
        <v>0.9512195</v>
      </c>
      <c r="V47">
        <f t="shared" si="21"/>
        <v>58</v>
      </c>
      <c r="W47" s="11">
        <f t="shared" si="8"/>
        <v>39.024390243902438</v>
      </c>
      <c r="X47">
        <v>24.2011</v>
      </c>
      <c r="Y47">
        <v>55.495220000000003</v>
      </c>
      <c r="Z47">
        <f t="shared" si="9"/>
        <v>14.823290243902438</v>
      </c>
      <c r="AA47">
        <f t="shared" si="10"/>
        <v>31.294120000000003</v>
      </c>
      <c r="AB47" t="s">
        <v>997</v>
      </c>
      <c r="AC47">
        <v>82</v>
      </c>
      <c r="AD47">
        <v>54</v>
      </c>
      <c r="AE47">
        <v>147</v>
      </c>
      <c r="AF47">
        <f t="shared" si="11"/>
        <v>28</v>
      </c>
      <c r="AG47">
        <f t="shared" si="12"/>
        <v>65</v>
      </c>
      <c r="AH47" s="59">
        <v>0.26</v>
      </c>
      <c r="AI47">
        <v>25.641029999999997</v>
      </c>
      <c r="AJ47">
        <v>13.037679999999998</v>
      </c>
      <c r="AK47">
        <v>42.127389999999998</v>
      </c>
      <c r="AL47">
        <f t="shared" si="13"/>
        <v>12.603349999999999</v>
      </c>
      <c r="AM47">
        <f t="shared" si="14"/>
        <v>16.486360000000001</v>
      </c>
      <c r="AN47">
        <v>28</v>
      </c>
    </row>
    <row r="48" spans="1:40" x14ac:dyDescent="0.25">
      <c r="A48" s="7" t="s">
        <v>622</v>
      </c>
      <c r="B48" s="95" t="s">
        <v>623</v>
      </c>
      <c r="C48" s="7">
        <v>56</v>
      </c>
      <c r="D48" s="7">
        <v>47</v>
      </c>
      <c r="E48" s="111">
        <v>0.94642859999999995</v>
      </c>
      <c r="F48" s="111">
        <v>0.96428570000000002</v>
      </c>
      <c r="G48" s="111">
        <v>0.95918369999999997</v>
      </c>
      <c r="H48" s="111">
        <v>0.94642859999999995</v>
      </c>
      <c r="I48" s="62">
        <f t="shared" si="15"/>
        <v>9</v>
      </c>
      <c r="J48" s="111">
        <v>0.8392857142857143</v>
      </c>
      <c r="K48" s="111">
        <v>0.16071428571428573</v>
      </c>
      <c r="L48" s="7" t="s">
        <v>180</v>
      </c>
      <c r="M48" s="7" t="s">
        <v>624</v>
      </c>
      <c r="N48" s="61">
        <v>1.229759</v>
      </c>
      <c r="O48" t="str">
        <f t="shared" si="16"/>
        <v>RM3</v>
      </c>
      <c r="P48" s="26">
        <f t="shared" si="17"/>
        <v>2</v>
      </c>
      <c r="Q48" s="26">
        <f t="shared" si="18"/>
        <v>1</v>
      </c>
      <c r="R48" s="26">
        <f t="shared" si="19"/>
        <v>3</v>
      </c>
      <c r="S48" s="26">
        <f t="shared" si="20"/>
        <v>3</v>
      </c>
      <c r="T48" s="46">
        <f>IF('AAA Summary'!$L$35=4, RANK(H48,H$8:H$81,1)+COUNTIF($H$8:H48,H48)-1, IF('AAA Summary'!$L$35=3, RANK(G48,G$8:G$81,1)+COUNTIF($G$8:G48,G48)-1, IF('AAA Summary'!$L$35=2, RANK(F48,F$8:F$81,1)+COUNTIF($F$8:F48,F48)-1, IF('AAA Summary'!$L$35=1, RANK(E48,E$8:E$81,1)+COUNTIF($E$8:E48,E48)-1))))</f>
        <v>34</v>
      </c>
      <c r="U48" s="34">
        <f>IF('AAA Summary'!$L$35=4, H48, IF('AAA Summary'!$L$35=3, G48, IF('AAA Summary'!$L$35=2, F48, IF('AAA Summary'!$L$35=1, E48))))</f>
        <v>0.94642859999999995</v>
      </c>
      <c r="V48">
        <f t="shared" si="21"/>
        <v>11</v>
      </c>
      <c r="W48" s="11">
        <f t="shared" si="8"/>
        <v>83.928571428571431</v>
      </c>
      <c r="X48">
        <v>71.672029999999992</v>
      </c>
      <c r="Y48">
        <v>92.378129999999999</v>
      </c>
      <c r="Z48">
        <f t="shared" si="9"/>
        <v>12.256541428571438</v>
      </c>
      <c r="AA48">
        <f t="shared" si="10"/>
        <v>20.706100000000006</v>
      </c>
      <c r="AB48" t="s">
        <v>998</v>
      </c>
      <c r="AC48">
        <v>66</v>
      </c>
      <c r="AD48">
        <v>34</v>
      </c>
      <c r="AE48">
        <v>101</v>
      </c>
      <c r="AF48">
        <f t="shared" si="11"/>
        <v>32</v>
      </c>
      <c r="AG48">
        <f t="shared" si="12"/>
        <v>35</v>
      </c>
      <c r="AH48" s="59">
        <v>0.43</v>
      </c>
      <c r="AI48">
        <v>43.396230000000003</v>
      </c>
      <c r="AJ48">
        <v>29.839209999999998</v>
      </c>
      <c r="AK48">
        <v>57.717419999999997</v>
      </c>
      <c r="AL48">
        <f t="shared" si="13"/>
        <v>13.557020000000005</v>
      </c>
      <c r="AM48">
        <f t="shared" si="14"/>
        <v>14.321189999999994</v>
      </c>
      <c r="AN48">
        <v>12</v>
      </c>
    </row>
    <row r="49" spans="1:40" x14ac:dyDescent="0.25">
      <c r="A49" s="7" t="s">
        <v>119</v>
      </c>
      <c r="B49" s="95" t="s">
        <v>120</v>
      </c>
      <c r="C49" s="7">
        <v>30</v>
      </c>
      <c r="D49" s="7">
        <v>18</v>
      </c>
      <c r="E49" s="111">
        <v>0.7</v>
      </c>
      <c r="F49" s="111">
        <v>1</v>
      </c>
      <c r="G49" s="111">
        <v>0.74074070000000003</v>
      </c>
      <c r="H49" s="111">
        <v>0.7</v>
      </c>
      <c r="I49" s="62">
        <f t="shared" si="15"/>
        <v>12</v>
      </c>
      <c r="J49" s="111">
        <v>0.6</v>
      </c>
      <c r="K49" s="111">
        <v>0.4</v>
      </c>
      <c r="L49" s="7" t="s">
        <v>235</v>
      </c>
      <c r="M49" s="7" t="s">
        <v>475</v>
      </c>
      <c r="N49" s="61">
        <v>2.5639820000000002</v>
      </c>
      <c r="O49" t="str">
        <f t="shared" si="16"/>
        <v>RX1</v>
      </c>
      <c r="P49" s="26">
        <f t="shared" si="17"/>
        <v>1</v>
      </c>
      <c r="Q49" s="26">
        <f t="shared" si="18"/>
        <v>4</v>
      </c>
      <c r="R49" s="26">
        <f t="shared" si="19"/>
        <v>1</v>
      </c>
      <c r="S49" s="26">
        <f t="shared" si="20"/>
        <v>1</v>
      </c>
      <c r="T49" s="46">
        <f>IF('AAA Summary'!$L$35=4, RANK(H49,H$8:H$81,1)+COUNTIF($H$8:H49,H49)-1, IF('AAA Summary'!$L$35=3, RANK(G49,G$8:G$81,1)+COUNTIF($G$8:G49,G49)-1, IF('AAA Summary'!$L$35=2, RANK(F49,F$8:F$81,1)+COUNTIF($F$8:F49,F49)-1, IF('AAA Summary'!$L$35=1, RANK(E49,E$8:E$81,1)+COUNTIF($E$8:E49,E49)-1))))</f>
        <v>4</v>
      </c>
      <c r="U49" s="34">
        <f>IF('AAA Summary'!$L$35=4, H49, IF('AAA Summary'!$L$35=3, G49, IF('AAA Summary'!$L$35=2, F49, IF('AAA Summary'!$L$35=1, E49))))</f>
        <v>0.7</v>
      </c>
      <c r="V49">
        <f t="shared" si="21"/>
        <v>31</v>
      </c>
      <c r="W49" s="11">
        <f t="shared" si="8"/>
        <v>60</v>
      </c>
      <c r="X49">
        <v>40.603490000000001</v>
      </c>
      <c r="Y49">
        <v>77.344229999999996</v>
      </c>
      <c r="Z49">
        <f t="shared" si="9"/>
        <v>19.396509999999999</v>
      </c>
      <c r="AA49">
        <f t="shared" si="10"/>
        <v>36.740739999999995</v>
      </c>
      <c r="AB49" t="s">
        <v>999</v>
      </c>
      <c r="AC49">
        <v>71</v>
      </c>
      <c r="AD49">
        <v>48</v>
      </c>
      <c r="AE49">
        <v>98</v>
      </c>
      <c r="AF49">
        <f t="shared" si="11"/>
        <v>23</v>
      </c>
      <c r="AG49">
        <f t="shared" si="12"/>
        <v>27</v>
      </c>
      <c r="AH49" s="59">
        <v>0.38</v>
      </c>
      <c r="AI49">
        <v>38.095240000000004</v>
      </c>
      <c r="AJ49">
        <v>18.10716</v>
      </c>
      <c r="AK49">
        <v>61.56456</v>
      </c>
      <c r="AL49">
        <f t="shared" si="13"/>
        <v>19.988080000000004</v>
      </c>
      <c r="AM49">
        <f t="shared" si="14"/>
        <v>23.469319999999996</v>
      </c>
      <c r="AN49">
        <v>17</v>
      </c>
    </row>
    <row r="50" spans="1:40" x14ac:dyDescent="0.25">
      <c r="A50" s="7" t="s">
        <v>96</v>
      </c>
      <c r="B50" s="95" t="s">
        <v>360</v>
      </c>
      <c r="C50" s="7">
        <v>60</v>
      </c>
      <c r="D50" s="7">
        <v>24</v>
      </c>
      <c r="E50" s="111">
        <v>0.9</v>
      </c>
      <c r="F50" s="111">
        <v>0.95</v>
      </c>
      <c r="G50" s="111">
        <v>0.90740739999999998</v>
      </c>
      <c r="H50" s="111">
        <v>0.75</v>
      </c>
      <c r="I50" s="62">
        <f t="shared" si="15"/>
        <v>36</v>
      </c>
      <c r="J50" s="111">
        <v>0.4</v>
      </c>
      <c r="K50" s="111">
        <v>0.6</v>
      </c>
      <c r="L50" s="7" t="s">
        <v>237</v>
      </c>
      <c r="M50" s="7" t="s">
        <v>182</v>
      </c>
      <c r="N50" s="61">
        <v>0</v>
      </c>
      <c r="O50" t="str">
        <f t="shared" si="16"/>
        <v>RTH</v>
      </c>
      <c r="P50" s="26">
        <f t="shared" si="17"/>
        <v>2</v>
      </c>
      <c r="Q50" s="26">
        <f t="shared" si="18"/>
        <v>1</v>
      </c>
      <c r="R50" s="26">
        <f t="shared" si="19"/>
        <v>2</v>
      </c>
      <c r="S50" s="26">
        <f t="shared" si="20"/>
        <v>1</v>
      </c>
      <c r="T50" s="46">
        <f>IF('AAA Summary'!$L$35=4, RANK(H50,H$8:H$81,1)+COUNTIF($H$8:H50,H50)-1, IF('AAA Summary'!$L$35=3, RANK(G50,G$8:G$81,1)+COUNTIF($G$8:G50,G50)-1, IF('AAA Summary'!$L$35=2, RANK(F50,F$8:F$81,1)+COUNTIF($F$8:F50,F50)-1, IF('AAA Summary'!$L$35=1, RANK(E50,E$8:E$81,1)+COUNTIF($E$8:E50,E50)-1))))</f>
        <v>25</v>
      </c>
      <c r="U50" s="34">
        <f>IF('AAA Summary'!$L$35=4, H50, IF('AAA Summary'!$L$35=3, G50, IF('AAA Summary'!$L$35=2, F50, IF('AAA Summary'!$L$35=1, E50))))</f>
        <v>0.9</v>
      </c>
      <c r="V50">
        <f t="shared" si="21"/>
        <v>57</v>
      </c>
      <c r="W50" s="11">
        <f t="shared" si="8"/>
        <v>40</v>
      </c>
      <c r="X50">
        <v>27.562160000000002</v>
      </c>
      <c r="Y50">
        <v>53.459449999999997</v>
      </c>
      <c r="Z50">
        <f t="shared" si="9"/>
        <v>12.437839999999998</v>
      </c>
      <c r="AA50">
        <f t="shared" si="10"/>
        <v>25.897289999999995</v>
      </c>
      <c r="AB50" t="s">
        <v>1000</v>
      </c>
      <c r="AC50">
        <v>126</v>
      </c>
      <c r="AD50">
        <v>59</v>
      </c>
      <c r="AE50">
        <v>222</v>
      </c>
      <c r="AF50">
        <f t="shared" si="11"/>
        <v>67</v>
      </c>
      <c r="AG50">
        <f t="shared" si="12"/>
        <v>96</v>
      </c>
      <c r="AH50" s="59">
        <v>0.24</v>
      </c>
      <c r="AI50">
        <v>24.074069999999999</v>
      </c>
      <c r="AJ50">
        <v>13.48634</v>
      </c>
      <c r="AK50">
        <v>37.640520000000002</v>
      </c>
      <c r="AL50">
        <f t="shared" si="13"/>
        <v>10.587729999999999</v>
      </c>
      <c r="AM50">
        <f t="shared" si="14"/>
        <v>13.566450000000003</v>
      </c>
      <c r="AN50">
        <v>49</v>
      </c>
    </row>
    <row r="51" spans="1:40" x14ac:dyDescent="0.25">
      <c r="A51" s="7" t="s">
        <v>79</v>
      </c>
      <c r="B51" s="95" t="s">
        <v>80</v>
      </c>
      <c r="C51" s="7">
        <v>7</v>
      </c>
      <c r="D51" s="7">
        <v>7</v>
      </c>
      <c r="E51" s="111">
        <v>1</v>
      </c>
      <c r="F51" s="111">
        <v>1</v>
      </c>
      <c r="G51" s="111">
        <v>1</v>
      </c>
      <c r="H51" s="111">
        <v>1</v>
      </c>
      <c r="I51" s="62">
        <f t="shared" si="15"/>
        <v>0</v>
      </c>
      <c r="J51" s="111">
        <v>1</v>
      </c>
      <c r="K51" s="111">
        <v>0</v>
      </c>
      <c r="L51" s="7" t="s">
        <v>237</v>
      </c>
      <c r="M51" s="7" t="s">
        <v>604</v>
      </c>
      <c r="N51" s="61">
        <v>0</v>
      </c>
      <c r="O51" t="str">
        <f t="shared" si="16"/>
        <v>RQW</v>
      </c>
      <c r="P51" s="26">
        <f t="shared" si="17"/>
        <v>4</v>
      </c>
      <c r="Q51" s="26">
        <f t="shared" si="18"/>
        <v>4</v>
      </c>
      <c r="R51" s="26">
        <f t="shared" si="19"/>
        <v>4</v>
      </c>
      <c r="S51" s="26">
        <f t="shared" si="20"/>
        <v>4</v>
      </c>
      <c r="T51" s="46">
        <f>IF('AAA Summary'!$L$35=4, RANK(H51,H$8:H$81,1)+COUNTIF($H$8:H51,H51)-1, IF('AAA Summary'!$L$35=3, RANK(G51,G$8:G$81,1)+COUNTIF($G$8:G51,G51)-1, IF('AAA Summary'!$L$35=2, RANK(F51,F$8:F$81,1)+COUNTIF($F$8:F51,F51)-1, IF('AAA Summary'!$L$35=1, RANK(E51,E$8:E$81,1)+COUNTIF($E$8:E51,E51)-1))))</f>
        <v>64</v>
      </c>
      <c r="U51" s="34">
        <f>IF('AAA Summary'!$L$35=4, H51, IF('AAA Summary'!$L$35=3, G51, IF('AAA Summary'!$L$35=2, F51, IF('AAA Summary'!$L$35=1, E51))))</f>
        <v>1</v>
      </c>
      <c r="V51">
        <f t="shared" si="21"/>
        <v>1</v>
      </c>
      <c r="W51" s="11">
        <f t="shared" si="8"/>
        <v>100</v>
      </c>
      <c r="X51" t="e">
        <v>#N/A</v>
      </c>
      <c r="Y51" t="e">
        <v>#N/A</v>
      </c>
      <c r="Z51" t="e">
        <f t="shared" si="9"/>
        <v>#N/A</v>
      </c>
      <c r="AA51" t="e">
        <f t="shared" si="10"/>
        <v>#N/A</v>
      </c>
      <c r="AB51" t="e">
        <v>#N/A</v>
      </c>
      <c r="AC51" t="e">
        <v>#N/A</v>
      </c>
      <c r="AD51" t="e">
        <v>#N/A</v>
      </c>
      <c r="AE51" t="e">
        <v>#N/A</v>
      </c>
      <c r="AF51" t="e">
        <f t="shared" si="11"/>
        <v>#N/A</v>
      </c>
      <c r="AG51" t="e">
        <f t="shared" si="12"/>
        <v>#N/A</v>
      </c>
      <c r="AH51" t="e">
        <v>#N/A</v>
      </c>
      <c r="AI51" t="e">
        <v>#N/A</v>
      </c>
      <c r="AJ51" t="e">
        <v>#N/A</v>
      </c>
      <c r="AK51" t="e">
        <v>#N/A</v>
      </c>
      <c r="AL51" t="e">
        <f t="shared" si="13"/>
        <v>#N/A</v>
      </c>
      <c r="AM51" t="e">
        <f t="shared" si="14"/>
        <v>#N/A</v>
      </c>
      <c r="AN51" t="e">
        <v>#N/A</v>
      </c>
    </row>
    <row r="52" spans="1:40" x14ac:dyDescent="0.25">
      <c r="A52" s="7" t="s">
        <v>89</v>
      </c>
      <c r="B52" s="95" t="s">
        <v>90</v>
      </c>
      <c r="C52" s="7">
        <v>5</v>
      </c>
      <c r="D52" s="7">
        <v>3</v>
      </c>
      <c r="E52" s="111">
        <v>1</v>
      </c>
      <c r="F52" s="111">
        <v>1</v>
      </c>
      <c r="G52" s="111">
        <v>1</v>
      </c>
      <c r="H52" s="111">
        <v>1</v>
      </c>
      <c r="I52" s="62">
        <f t="shared" si="15"/>
        <v>2</v>
      </c>
      <c r="J52" s="111">
        <v>0.6</v>
      </c>
      <c r="K52" s="111">
        <v>0.4</v>
      </c>
      <c r="L52" s="7" t="s">
        <v>631</v>
      </c>
      <c r="M52" s="7" t="s">
        <v>632</v>
      </c>
      <c r="N52" s="61">
        <v>0</v>
      </c>
      <c r="O52" t="str">
        <f t="shared" si="16"/>
        <v>RT3</v>
      </c>
      <c r="P52" s="26">
        <f t="shared" si="17"/>
        <v>4</v>
      </c>
      <c r="Q52" s="26">
        <f t="shared" si="18"/>
        <v>4</v>
      </c>
      <c r="R52" s="26">
        <f t="shared" si="19"/>
        <v>4</v>
      </c>
      <c r="S52" s="26">
        <f t="shared" si="20"/>
        <v>4</v>
      </c>
      <c r="T52" s="46">
        <f>IF('AAA Summary'!$L$35=4, RANK(H52,H$8:H$81,1)+COUNTIF($H$8:H52,H52)-1, IF('AAA Summary'!$L$35=3, RANK(G52,G$8:G$81,1)+COUNTIF($G$8:G52,G52)-1, IF('AAA Summary'!$L$35=2, RANK(F52,F$8:F$81,1)+COUNTIF($F$8:F52,F52)-1, IF('AAA Summary'!$L$35=1, RANK(E52,E$8:E$81,1)+COUNTIF($E$8:E52,E52)-1))))</f>
        <v>65</v>
      </c>
      <c r="U52" s="34">
        <f>IF('AAA Summary'!$L$35=4, H52, IF('AAA Summary'!$L$35=3, G52, IF('AAA Summary'!$L$35=2, F52, IF('AAA Summary'!$L$35=1, E52))))</f>
        <v>1</v>
      </c>
      <c r="V52">
        <f t="shared" si="21"/>
        <v>31</v>
      </c>
      <c r="W52" s="11">
        <f t="shared" si="8"/>
        <v>60</v>
      </c>
      <c r="X52" t="e">
        <v>#N/A</v>
      </c>
      <c r="Y52" t="e">
        <v>#N/A</v>
      </c>
      <c r="Z52" t="e">
        <f t="shared" si="9"/>
        <v>#N/A</v>
      </c>
      <c r="AA52" t="e">
        <f t="shared" si="10"/>
        <v>#N/A</v>
      </c>
      <c r="AB52" t="e">
        <v>#N/A</v>
      </c>
      <c r="AC52" t="e">
        <v>#N/A</v>
      </c>
      <c r="AD52" t="e">
        <v>#N/A</v>
      </c>
      <c r="AE52" t="e">
        <v>#N/A</v>
      </c>
      <c r="AF52" t="e">
        <f t="shared" si="11"/>
        <v>#N/A</v>
      </c>
      <c r="AG52" t="e">
        <f t="shared" si="12"/>
        <v>#N/A</v>
      </c>
      <c r="AH52" t="e">
        <v>#N/A</v>
      </c>
      <c r="AI52" t="e">
        <v>#N/A</v>
      </c>
      <c r="AJ52" t="e">
        <v>#N/A</v>
      </c>
      <c r="AK52" t="e">
        <v>#N/A</v>
      </c>
      <c r="AL52" t="e">
        <f t="shared" si="13"/>
        <v>#N/A</v>
      </c>
      <c r="AM52" t="e">
        <f t="shared" si="14"/>
        <v>#N/A</v>
      </c>
      <c r="AN52" t="e">
        <v>#N/A</v>
      </c>
    </row>
    <row r="53" spans="1:40" x14ac:dyDescent="0.25">
      <c r="A53" s="7" t="s">
        <v>32</v>
      </c>
      <c r="B53" s="95" t="s">
        <v>33</v>
      </c>
      <c r="C53" s="7">
        <v>13</v>
      </c>
      <c r="D53" s="7">
        <v>5</v>
      </c>
      <c r="E53" s="111">
        <v>0.92307689999999998</v>
      </c>
      <c r="F53" s="111">
        <v>1</v>
      </c>
      <c r="G53" s="111">
        <v>0.9</v>
      </c>
      <c r="H53" s="111">
        <v>0.92307689999999998</v>
      </c>
      <c r="I53" s="62">
        <f t="shared" si="15"/>
        <v>8</v>
      </c>
      <c r="J53" s="111">
        <v>0.38461538461538464</v>
      </c>
      <c r="K53" s="111">
        <v>0.61538461538461542</v>
      </c>
      <c r="L53" s="7" t="s">
        <v>194</v>
      </c>
      <c r="M53" s="7" t="s">
        <v>614</v>
      </c>
      <c r="N53" s="61">
        <v>0</v>
      </c>
      <c r="O53" t="str">
        <f t="shared" si="16"/>
        <v>REF</v>
      </c>
      <c r="P53" s="26">
        <f t="shared" si="17"/>
        <v>2</v>
      </c>
      <c r="Q53" s="26">
        <f t="shared" si="18"/>
        <v>4</v>
      </c>
      <c r="R53" s="26">
        <f t="shared" si="19"/>
        <v>2</v>
      </c>
      <c r="S53" s="26">
        <f t="shared" si="20"/>
        <v>3</v>
      </c>
      <c r="T53" s="46">
        <f>IF('AAA Summary'!$L$35=4, RANK(H53,H$8:H$81,1)+COUNTIF($H$8:H53,H53)-1, IF('AAA Summary'!$L$35=3, RANK(G53,G$8:G$81,1)+COUNTIF($G$8:G53,G53)-1, IF('AAA Summary'!$L$35=2, RANK(F53,F$8:F$81,1)+COUNTIF($F$8:F53,F53)-1, IF('AAA Summary'!$L$35=1, RANK(E53,E$8:E$81,1)+COUNTIF($E$8:E53,E53)-1))))</f>
        <v>28</v>
      </c>
      <c r="U53" s="34">
        <f>IF('AAA Summary'!$L$35=4, H53, IF('AAA Summary'!$L$35=3, G53, IF('AAA Summary'!$L$35=2, F53, IF('AAA Summary'!$L$35=1, E53))))</f>
        <v>0.92307689999999998</v>
      </c>
      <c r="V53">
        <f t="shared" si="21"/>
        <v>61</v>
      </c>
      <c r="W53" s="11">
        <f t="shared" si="8"/>
        <v>38.461538461538467</v>
      </c>
      <c r="X53">
        <v>13.85793</v>
      </c>
      <c r="Y53">
        <v>68.422240000000002</v>
      </c>
      <c r="Z53">
        <f t="shared" si="9"/>
        <v>24.603608461538467</v>
      </c>
      <c r="AA53">
        <f t="shared" si="10"/>
        <v>54.564310000000006</v>
      </c>
      <c r="AB53" t="s">
        <v>1001</v>
      </c>
      <c r="AC53">
        <v>69</v>
      </c>
      <c r="AD53">
        <v>37</v>
      </c>
      <c r="AE53">
        <v>130</v>
      </c>
      <c r="AF53">
        <f t="shared" si="11"/>
        <v>32</v>
      </c>
      <c r="AG53">
        <f t="shared" si="12"/>
        <v>61</v>
      </c>
      <c r="AH53" s="59">
        <v>0.33</v>
      </c>
      <c r="AI53">
        <v>33.333329999999997</v>
      </c>
      <c r="AJ53">
        <v>9.9246100000000013</v>
      </c>
      <c r="AK53">
        <v>65.112449999999995</v>
      </c>
      <c r="AL53">
        <f t="shared" si="13"/>
        <v>23.408719999999995</v>
      </c>
      <c r="AM53">
        <f t="shared" si="14"/>
        <v>31.779119999999999</v>
      </c>
      <c r="AN53">
        <v>16</v>
      </c>
    </row>
    <row r="54" spans="1:40" x14ac:dyDescent="0.25">
      <c r="A54" s="7" t="s">
        <v>42</v>
      </c>
      <c r="B54" s="95" t="s">
        <v>43</v>
      </c>
      <c r="C54" s="7">
        <v>26</v>
      </c>
      <c r="D54" s="7">
        <v>2</v>
      </c>
      <c r="E54" s="111">
        <v>0.96153840000000002</v>
      </c>
      <c r="F54" s="111">
        <v>1</v>
      </c>
      <c r="G54" s="111">
        <v>0.95238100000000003</v>
      </c>
      <c r="H54" s="111">
        <v>0.92307689999999998</v>
      </c>
      <c r="I54" s="62">
        <f t="shared" si="15"/>
        <v>24</v>
      </c>
      <c r="J54" s="111">
        <v>7.6923076923076927E-2</v>
      </c>
      <c r="K54" s="111">
        <v>0.92307692307692313</v>
      </c>
      <c r="L54" s="7" t="s">
        <v>615</v>
      </c>
      <c r="M54" s="7" t="s">
        <v>616</v>
      </c>
      <c r="N54" s="61">
        <v>3.6351059999999999</v>
      </c>
      <c r="O54" t="str">
        <f t="shared" si="16"/>
        <v>RH8</v>
      </c>
      <c r="P54" s="26">
        <f t="shared" si="17"/>
        <v>3</v>
      </c>
      <c r="Q54" s="26">
        <f t="shared" si="18"/>
        <v>4</v>
      </c>
      <c r="R54" s="26">
        <f t="shared" si="19"/>
        <v>2</v>
      </c>
      <c r="S54" s="26">
        <f t="shared" si="20"/>
        <v>3</v>
      </c>
      <c r="T54" s="46">
        <f>IF('AAA Summary'!$L$35=4, RANK(H54,H$8:H$81,1)+COUNTIF($H$8:H54,H54)-1, IF('AAA Summary'!$L$35=3, RANK(G54,G$8:G$81,1)+COUNTIF($G$8:G54,G54)-1, IF('AAA Summary'!$L$35=2, RANK(F54,F$8:F$81,1)+COUNTIF($F$8:F54,F54)-1, IF('AAA Summary'!$L$35=1, RANK(E54,E$8:E$81,1)+COUNTIF($E$8:E54,E54)-1))))</f>
        <v>43</v>
      </c>
      <c r="U54" s="34">
        <f>IF('AAA Summary'!$L$35=4, H54, IF('AAA Summary'!$L$35=3, G54, IF('AAA Summary'!$L$35=2, F54, IF('AAA Summary'!$L$35=1, E54))))</f>
        <v>0.96153840000000002</v>
      </c>
      <c r="V54">
        <f t="shared" si="21"/>
        <v>68</v>
      </c>
      <c r="W54" s="11">
        <f t="shared" si="8"/>
        <v>7.6923076923076925</v>
      </c>
      <c r="X54">
        <v>0.94553999999999994</v>
      </c>
      <c r="Y54">
        <v>25.130289999999999</v>
      </c>
      <c r="Z54">
        <f t="shared" si="9"/>
        <v>6.7467676923076922</v>
      </c>
      <c r="AA54">
        <f t="shared" si="10"/>
        <v>24.184749999999998</v>
      </c>
      <c r="AB54" t="s">
        <v>1002</v>
      </c>
      <c r="AC54">
        <v>50</v>
      </c>
      <c r="AD54">
        <v>27</v>
      </c>
      <c r="AE54">
        <v>77</v>
      </c>
      <c r="AF54">
        <f t="shared" si="11"/>
        <v>23</v>
      </c>
      <c r="AG54">
        <f t="shared" si="12"/>
        <v>27</v>
      </c>
      <c r="AH54" s="59">
        <v>0.56000000000000005</v>
      </c>
      <c r="AI54">
        <v>56.000000000000007</v>
      </c>
      <c r="AJ54">
        <v>34.928160000000005</v>
      </c>
      <c r="AK54">
        <v>75.597630000000009</v>
      </c>
      <c r="AL54">
        <f t="shared" si="13"/>
        <v>21.071840000000002</v>
      </c>
      <c r="AM54">
        <f t="shared" si="14"/>
        <v>19.597630000000002</v>
      </c>
      <c r="AN54">
        <v>3</v>
      </c>
    </row>
    <row r="55" spans="1:40" x14ac:dyDescent="0.25">
      <c r="A55" s="7" t="s">
        <v>19</v>
      </c>
      <c r="B55" s="95" t="s">
        <v>20</v>
      </c>
      <c r="C55" s="7">
        <v>32</v>
      </c>
      <c r="D55" s="7">
        <v>20</v>
      </c>
      <c r="E55" s="111">
        <v>0.71875</v>
      </c>
      <c r="F55" s="111">
        <v>0.9375</v>
      </c>
      <c r="G55" s="111">
        <v>0.78260870000000005</v>
      </c>
      <c r="H55" s="111">
        <v>0.59375</v>
      </c>
      <c r="I55" s="62">
        <f t="shared" si="15"/>
        <v>12</v>
      </c>
      <c r="J55" s="111">
        <v>0.625</v>
      </c>
      <c r="K55" s="111">
        <v>0.375</v>
      </c>
      <c r="L55" s="7" t="s">
        <v>230</v>
      </c>
      <c r="M55" s="7" t="s">
        <v>608</v>
      </c>
      <c r="N55" s="61">
        <v>1.0550889999999999</v>
      </c>
      <c r="O55" t="str">
        <f t="shared" si="16"/>
        <v>RAL</v>
      </c>
      <c r="P55" s="26">
        <f t="shared" si="17"/>
        <v>1</v>
      </c>
      <c r="Q55" s="26">
        <f t="shared" si="18"/>
        <v>1</v>
      </c>
      <c r="R55" s="26">
        <f t="shared" si="19"/>
        <v>1</v>
      </c>
      <c r="S55" s="26">
        <f t="shared" si="20"/>
        <v>1</v>
      </c>
      <c r="T55" s="46">
        <f>IF('AAA Summary'!$L$35=4, RANK(H55,H$8:H$81,1)+COUNTIF($H$8:H55,H55)-1, IF('AAA Summary'!$L$35=3, RANK(G55,G$8:G$81,1)+COUNTIF($G$8:G55,G55)-1, IF('AAA Summary'!$L$35=2, RANK(F55,F$8:F$81,1)+COUNTIF($F$8:F55,F55)-1, IF('AAA Summary'!$L$35=1, RANK(E55,E$8:E$81,1)+COUNTIF($E$8:E55,E55)-1))))</f>
        <v>6</v>
      </c>
      <c r="U55" s="34">
        <f>IF('AAA Summary'!$L$35=4, H55, IF('AAA Summary'!$L$35=3, G55, IF('AAA Summary'!$L$35=2, F55, IF('AAA Summary'!$L$35=1, E55))))</f>
        <v>0.71875</v>
      </c>
      <c r="V55">
        <f t="shared" si="21"/>
        <v>29</v>
      </c>
      <c r="W55" s="11">
        <f t="shared" si="8"/>
        <v>62.5</v>
      </c>
      <c r="X55">
        <v>43.692250000000001</v>
      </c>
      <c r="Y55">
        <v>78.899969999999996</v>
      </c>
      <c r="Z55">
        <f t="shared" si="9"/>
        <v>18.807749999999999</v>
      </c>
      <c r="AA55">
        <f t="shared" si="10"/>
        <v>35.207719999999995</v>
      </c>
      <c r="AB55" t="s">
        <v>1003</v>
      </c>
      <c r="AC55">
        <v>64</v>
      </c>
      <c r="AD55">
        <v>40</v>
      </c>
      <c r="AE55">
        <v>108</v>
      </c>
      <c r="AF55">
        <f t="shared" si="11"/>
        <v>24</v>
      </c>
      <c r="AG55">
        <f t="shared" si="12"/>
        <v>44</v>
      </c>
      <c r="AH55" s="59">
        <v>0.43</v>
      </c>
      <c r="AI55">
        <v>43.478259999999999</v>
      </c>
      <c r="AJ55">
        <v>23.191419999999997</v>
      </c>
      <c r="AK55">
        <v>65.505340000000004</v>
      </c>
      <c r="AL55">
        <f t="shared" si="13"/>
        <v>20.286840000000002</v>
      </c>
      <c r="AM55">
        <f t="shared" si="14"/>
        <v>22.027080000000005</v>
      </c>
      <c r="AN55">
        <v>9</v>
      </c>
    </row>
    <row r="56" spans="1:40" x14ac:dyDescent="0.25">
      <c r="A56" s="7" t="s">
        <v>46</v>
      </c>
      <c r="B56" s="95" t="s">
        <v>47</v>
      </c>
      <c r="C56" s="7">
        <v>37</v>
      </c>
      <c r="D56" s="7">
        <v>11</v>
      </c>
      <c r="E56" s="111">
        <v>0.83783779999999997</v>
      </c>
      <c r="F56" s="111">
        <v>0.97297299999999998</v>
      </c>
      <c r="G56" s="111">
        <v>0.83333330000000005</v>
      </c>
      <c r="H56" s="111">
        <v>0.72972970000000004</v>
      </c>
      <c r="I56" s="62">
        <f t="shared" si="15"/>
        <v>26</v>
      </c>
      <c r="J56" s="111">
        <v>0.29729729729729731</v>
      </c>
      <c r="K56" s="111">
        <v>0.70270270270270274</v>
      </c>
      <c r="L56" s="7" t="s">
        <v>235</v>
      </c>
      <c r="M56" s="7" t="s">
        <v>187</v>
      </c>
      <c r="N56" s="61">
        <v>2.166204</v>
      </c>
      <c r="O56" t="str">
        <f t="shared" si="16"/>
        <v>RHQ</v>
      </c>
      <c r="P56" s="26">
        <f t="shared" si="17"/>
        <v>1</v>
      </c>
      <c r="Q56" s="26">
        <f t="shared" si="18"/>
        <v>1</v>
      </c>
      <c r="R56" s="26">
        <f t="shared" si="19"/>
        <v>1</v>
      </c>
      <c r="S56" s="26">
        <f t="shared" si="20"/>
        <v>1</v>
      </c>
      <c r="T56" s="46">
        <f>IF('AAA Summary'!$L$35=4, RANK(H56,H$8:H$81,1)+COUNTIF($H$8:H56,H56)-1, IF('AAA Summary'!$L$35=3, RANK(G56,G$8:G$81,1)+COUNTIF($G$8:G56,G56)-1, IF('AAA Summary'!$L$35=2, RANK(F56,F$8:F$81,1)+COUNTIF($F$8:F56,F56)-1, IF('AAA Summary'!$L$35=1, RANK(E56,E$8:E$81,1)+COUNTIF($E$8:E56,E56)-1))))</f>
        <v>15</v>
      </c>
      <c r="U56" s="34">
        <f>IF('AAA Summary'!$L$35=4, H56, IF('AAA Summary'!$L$35=3, G56, IF('AAA Summary'!$L$35=2, F56, IF('AAA Summary'!$L$35=1, E56))))</f>
        <v>0.83783779999999997</v>
      </c>
      <c r="V56">
        <f t="shared" si="21"/>
        <v>65</v>
      </c>
      <c r="W56" s="11">
        <f t="shared" si="8"/>
        <v>29.72972972972973</v>
      </c>
      <c r="X56">
        <v>15.872539999999999</v>
      </c>
      <c r="Y56">
        <v>46.979949999999995</v>
      </c>
      <c r="Z56">
        <f t="shared" si="9"/>
        <v>13.857189729729731</v>
      </c>
      <c r="AA56">
        <f t="shared" si="10"/>
        <v>31.107409999999994</v>
      </c>
      <c r="AB56" t="s">
        <v>1004</v>
      </c>
      <c r="AC56">
        <v>85</v>
      </c>
      <c r="AD56">
        <v>44</v>
      </c>
      <c r="AE56">
        <v>123</v>
      </c>
      <c r="AF56">
        <f t="shared" si="11"/>
        <v>41</v>
      </c>
      <c r="AG56">
        <f t="shared" si="12"/>
        <v>38</v>
      </c>
      <c r="AH56" s="59">
        <v>0.39</v>
      </c>
      <c r="AI56">
        <v>38.709679999999999</v>
      </c>
      <c r="AJ56">
        <v>21.849959999999999</v>
      </c>
      <c r="AK56">
        <v>57.813040000000001</v>
      </c>
      <c r="AL56">
        <f t="shared" si="13"/>
        <v>16.859719999999999</v>
      </c>
      <c r="AM56">
        <f t="shared" si="14"/>
        <v>19.103360000000002</v>
      </c>
      <c r="AN56">
        <v>31</v>
      </c>
    </row>
    <row r="57" spans="1:40" x14ac:dyDescent="0.25">
      <c r="A57" s="7" t="s">
        <v>127</v>
      </c>
      <c r="B57" s="95" t="s">
        <v>128</v>
      </c>
      <c r="C57" s="7">
        <v>25</v>
      </c>
      <c r="D57" s="7">
        <v>13</v>
      </c>
      <c r="E57" s="111">
        <v>0.92</v>
      </c>
      <c r="F57" s="111">
        <v>1</v>
      </c>
      <c r="G57" s="111">
        <v>0.91666669999999995</v>
      </c>
      <c r="H57" s="111">
        <v>1</v>
      </c>
      <c r="I57" s="62">
        <f t="shared" si="15"/>
        <v>12</v>
      </c>
      <c r="J57" s="111">
        <v>0.52</v>
      </c>
      <c r="K57" s="111">
        <v>0.48</v>
      </c>
      <c r="L57" s="7" t="s">
        <v>602</v>
      </c>
      <c r="M57" s="7" t="s">
        <v>255</v>
      </c>
      <c r="N57" s="61">
        <v>0</v>
      </c>
      <c r="O57" t="str">
        <f t="shared" si="16"/>
        <v>RXW</v>
      </c>
      <c r="P57" s="26">
        <f t="shared" si="17"/>
        <v>2</v>
      </c>
      <c r="Q57" s="26">
        <f t="shared" si="18"/>
        <v>4</v>
      </c>
      <c r="R57" s="26">
        <f t="shared" si="19"/>
        <v>2</v>
      </c>
      <c r="S57" s="26">
        <f t="shared" si="20"/>
        <v>4</v>
      </c>
      <c r="T57" s="46">
        <f>IF('AAA Summary'!$L$35=4, RANK(H57,H$8:H$81,1)+COUNTIF($H$8:H57,H57)-1, IF('AAA Summary'!$L$35=3, RANK(G57,G$8:G$81,1)+COUNTIF($G$8:G57,G57)-1, IF('AAA Summary'!$L$35=2, RANK(F57,F$8:F$81,1)+COUNTIF($F$8:F57,F57)-1, IF('AAA Summary'!$L$35=1, RANK(E57,E$8:E$81,1)+COUNTIF($E$8:E57,E57)-1))))</f>
        <v>27</v>
      </c>
      <c r="U57" s="34">
        <f>IF('AAA Summary'!$L$35=4, H57, IF('AAA Summary'!$L$35=3, G57, IF('AAA Summary'!$L$35=2, F57, IF('AAA Summary'!$L$35=1, E57))))</f>
        <v>0.92</v>
      </c>
      <c r="V57">
        <f t="shared" si="21"/>
        <v>45</v>
      </c>
      <c r="W57" s="11">
        <f t="shared" si="8"/>
        <v>52</v>
      </c>
      <c r="X57">
        <v>31.305699999999998</v>
      </c>
      <c r="Y57">
        <v>72.203199999999995</v>
      </c>
      <c r="Z57">
        <f t="shared" si="9"/>
        <v>20.694300000000002</v>
      </c>
      <c r="AA57">
        <f t="shared" si="10"/>
        <v>40.897499999999994</v>
      </c>
      <c r="AB57" t="s">
        <v>1005</v>
      </c>
      <c r="AC57">
        <v>167</v>
      </c>
      <c r="AD57">
        <v>115</v>
      </c>
      <c r="AE57">
        <v>309</v>
      </c>
      <c r="AF57">
        <f t="shared" si="11"/>
        <v>52</v>
      </c>
      <c r="AG57">
        <f t="shared" si="12"/>
        <v>142</v>
      </c>
      <c r="AH57" s="59">
        <v>0.09</v>
      </c>
      <c r="AI57">
        <v>8.6956500000000005</v>
      </c>
      <c r="AJ57">
        <v>1.0710000000000002</v>
      </c>
      <c r="AK57">
        <v>28.037929999999999</v>
      </c>
      <c r="AL57">
        <f t="shared" si="13"/>
        <v>7.6246500000000008</v>
      </c>
      <c r="AM57">
        <f t="shared" si="14"/>
        <v>19.342279999999999</v>
      </c>
      <c r="AN57">
        <v>60</v>
      </c>
    </row>
    <row r="58" spans="1:40" x14ac:dyDescent="0.25">
      <c r="A58" s="7" t="s">
        <v>513</v>
      </c>
      <c r="B58" s="95" t="s">
        <v>514</v>
      </c>
      <c r="C58" s="7">
        <v>58</v>
      </c>
      <c r="D58" s="7">
        <v>27</v>
      </c>
      <c r="E58" s="111">
        <v>0.98275860000000004</v>
      </c>
      <c r="F58" s="111">
        <v>1</v>
      </c>
      <c r="G58" s="111">
        <v>0.98076920000000001</v>
      </c>
      <c r="H58" s="111">
        <v>1</v>
      </c>
      <c r="I58" s="62">
        <f t="shared" si="15"/>
        <v>31</v>
      </c>
      <c r="J58" s="111">
        <v>0.46551724137931033</v>
      </c>
      <c r="K58" s="111">
        <v>0.53448275862068961</v>
      </c>
      <c r="L58" s="7" t="s">
        <v>237</v>
      </c>
      <c r="M58" s="7" t="s">
        <v>253</v>
      </c>
      <c r="N58" s="61">
        <v>1.2638879999999999</v>
      </c>
      <c r="O58" t="str">
        <f t="shared" si="16"/>
        <v>RH5</v>
      </c>
      <c r="P58" s="26">
        <f t="shared" si="17"/>
        <v>3</v>
      </c>
      <c r="Q58" s="26">
        <f t="shared" si="18"/>
        <v>4</v>
      </c>
      <c r="R58" s="26">
        <f t="shared" si="19"/>
        <v>3</v>
      </c>
      <c r="S58" s="26">
        <f t="shared" si="20"/>
        <v>4</v>
      </c>
      <c r="T58" s="46">
        <f>IF('AAA Summary'!$L$35=4, RANK(H58,H$8:H$81,1)+COUNTIF($H$8:H58,H58)-1, IF('AAA Summary'!$L$35=3, RANK(G58,G$8:G$81,1)+COUNTIF($G$8:G58,G58)-1, IF('AAA Summary'!$L$35=2, RANK(F58,F$8:F$81,1)+COUNTIF($F$8:F58,F58)-1, IF('AAA Summary'!$L$35=1, RANK(E58,E$8:E$81,1)+COUNTIF($E$8:E58,E58)-1))))</f>
        <v>52</v>
      </c>
      <c r="U58" s="34">
        <f>IF('AAA Summary'!$L$35=4, H58, IF('AAA Summary'!$L$35=3, G58, IF('AAA Summary'!$L$35=2, F58, IF('AAA Summary'!$L$35=1, E58))))</f>
        <v>0.98275860000000004</v>
      </c>
      <c r="V58">
        <f t="shared" si="21"/>
        <v>49</v>
      </c>
      <c r="W58" s="11">
        <f t="shared" si="8"/>
        <v>46.551724137931032</v>
      </c>
      <c r="X58">
        <v>33.340029999999999</v>
      </c>
      <c r="Y58">
        <v>60.127509999999994</v>
      </c>
      <c r="Z58">
        <f t="shared" si="9"/>
        <v>13.211694137931033</v>
      </c>
      <c r="AA58">
        <f t="shared" si="10"/>
        <v>26.787479999999995</v>
      </c>
      <c r="AB58" t="s">
        <v>1006</v>
      </c>
      <c r="AC58">
        <v>96</v>
      </c>
      <c r="AD58">
        <v>55</v>
      </c>
      <c r="AE58">
        <v>154</v>
      </c>
      <c r="AF58">
        <f t="shared" si="11"/>
        <v>41</v>
      </c>
      <c r="AG58">
        <f t="shared" si="12"/>
        <v>58</v>
      </c>
      <c r="AH58" s="59">
        <v>0.28000000000000003</v>
      </c>
      <c r="AI58">
        <v>28.070180000000001</v>
      </c>
      <c r="AJ58">
        <v>16.972919999999998</v>
      </c>
      <c r="AK58">
        <v>41.54289</v>
      </c>
      <c r="AL58">
        <f t="shared" si="13"/>
        <v>11.097260000000002</v>
      </c>
      <c r="AM58">
        <f t="shared" si="14"/>
        <v>13.472709999999999</v>
      </c>
      <c r="AN58">
        <v>39</v>
      </c>
    </row>
    <row r="59" spans="1:40" x14ac:dyDescent="0.25">
      <c r="A59" s="7" t="s">
        <v>98</v>
      </c>
      <c r="B59" s="95" t="s">
        <v>99</v>
      </c>
      <c r="C59" s="7">
        <v>42</v>
      </c>
      <c r="D59" s="7">
        <v>33</v>
      </c>
      <c r="E59" s="111">
        <v>0.97619040000000001</v>
      </c>
      <c r="F59" s="111">
        <v>0.92857140000000005</v>
      </c>
      <c r="G59" s="111">
        <v>0.97499999999999998</v>
      </c>
      <c r="H59" s="111">
        <v>0.95238100000000003</v>
      </c>
      <c r="I59" s="62">
        <f t="shared" si="15"/>
        <v>9</v>
      </c>
      <c r="J59" s="111">
        <v>0.7857142857142857</v>
      </c>
      <c r="K59" s="111">
        <v>0.21428571428571427</v>
      </c>
      <c r="L59" s="7" t="s">
        <v>237</v>
      </c>
      <c r="M59" s="7" t="s">
        <v>257</v>
      </c>
      <c r="N59" s="61">
        <v>0.84934290000000001</v>
      </c>
      <c r="O59" t="str">
        <f t="shared" si="16"/>
        <v>RTR</v>
      </c>
      <c r="P59" s="26">
        <f t="shared" si="17"/>
        <v>3</v>
      </c>
      <c r="Q59" s="26">
        <f t="shared" si="18"/>
        <v>1</v>
      </c>
      <c r="R59" s="26">
        <f t="shared" si="19"/>
        <v>3</v>
      </c>
      <c r="S59" s="26">
        <f t="shared" si="20"/>
        <v>3</v>
      </c>
      <c r="T59" s="46">
        <f>IF('AAA Summary'!$L$35=4, RANK(H59,H$8:H$81,1)+COUNTIF($H$8:H59,H59)-1, IF('AAA Summary'!$L$35=3, RANK(G59,G$8:G$81,1)+COUNTIF($G$8:G59,G59)-1, IF('AAA Summary'!$L$35=2, RANK(F59,F$8:F$81,1)+COUNTIF($F$8:F59,F59)-1, IF('AAA Summary'!$L$35=1, RANK(E59,E$8:E$81,1)+COUNTIF($E$8:E59,E59)-1))))</f>
        <v>48</v>
      </c>
      <c r="U59" s="34">
        <f>IF('AAA Summary'!$L$35=4, H59, IF('AAA Summary'!$L$35=3, G59, IF('AAA Summary'!$L$35=2, F59, IF('AAA Summary'!$L$35=1, E59))))</f>
        <v>0.97619040000000001</v>
      </c>
      <c r="V59">
        <f t="shared" si="21"/>
        <v>14</v>
      </c>
      <c r="W59" s="11">
        <f t="shared" si="8"/>
        <v>78.571428571428569</v>
      </c>
      <c r="X59">
        <v>63.188429999999997</v>
      </c>
      <c r="Y59">
        <v>89.704039999999992</v>
      </c>
      <c r="Z59">
        <f t="shared" si="9"/>
        <v>15.382998571428573</v>
      </c>
      <c r="AA59">
        <f t="shared" si="10"/>
        <v>26.515609999999995</v>
      </c>
      <c r="AB59" t="s">
        <v>1007</v>
      </c>
      <c r="AC59">
        <v>107</v>
      </c>
      <c r="AD59">
        <v>76</v>
      </c>
      <c r="AE59">
        <v>154</v>
      </c>
      <c r="AF59">
        <f t="shared" si="11"/>
        <v>31</v>
      </c>
      <c r="AG59">
        <f t="shared" si="12"/>
        <v>47</v>
      </c>
      <c r="AH59" s="59">
        <v>0.17</v>
      </c>
      <c r="AI59">
        <v>17.073169999999998</v>
      </c>
      <c r="AJ59">
        <v>7.1515300000000002</v>
      </c>
      <c r="AK59">
        <v>32.056089999999998</v>
      </c>
      <c r="AL59">
        <f t="shared" si="13"/>
        <v>9.9216399999999965</v>
      </c>
      <c r="AM59">
        <f t="shared" si="14"/>
        <v>14.98292</v>
      </c>
      <c r="AN59">
        <v>44</v>
      </c>
    </row>
    <row r="60" spans="1:40" x14ac:dyDescent="0.25">
      <c r="A60" s="7" t="s">
        <v>498</v>
      </c>
      <c r="B60" s="95" t="s">
        <v>499</v>
      </c>
      <c r="C60" s="7">
        <v>53</v>
      </c>
      <c r="D60" s="7">
        <v>41</v>
      </c>
      <c r="E60" s="111">
        <v>0.92452829999999997</v>
      </c>
      <c r="F60" s="111">
        <v>1</v>
      </c>
      <c r="G60" s="111">
        <v>0.95918369999999997</v>
      </c>
      <c r="H60" s="111">
        <v>1</v>
      </c>
      <c r="I60" s="62">
        <f t="shared" si="15"/>
        <v>12</v>
      </c>
      <c r="J60" s="111">
        <v>0.77358490566037741</v>
      </c>
      <c r="K60" s="111">
        <v>0.22641509433962265</v>
      </c>
      <c r="L60" s="7" t="s">
        <v>237</v>
      </c>
      <c r="M60" s="7" t="s">
        <v>251</v>
      </c>
      <c r="N60" s="61">
        <v>1.3910690000000001</v>
      </c>
      <c r="O60" t="str">
        <f t="shared" si="16"/>
        <v>R0B</v>
      </c>
      <c r="P60" s="26">
        <f t="shared" si="17"/>
        <v>2</v>
      </c>
      <c r="Q60" s="26">
        <f t="shared" si="18"/>
        <v>4</v>
      </c>
      <c r="R60" s="26">
        <f t="shared" si="19"/>
        <v>3</v>
      </c>
      <c r="S60" s="26">
        <f t="shared" si="20"/>
        <v>4</v>
      </c>
      <c r="T60" s="46">
        <f>IF('AAA Summary'!$L$35=4, RANK(H60,H$8:H$81,1)+COUNTIF($H$8:H60,H60)-1, IF('AAA Summary'!$L$35=3, RANK(G60,G$8:G$81,1)+COUNTIF($G$8:G60,G60)-1, IF('AAA Summary'!$L$35=2, RANK(F60,F$8:F$81,1)+COUNTIF($F$8:F60,F60)-1, IF('AAA Summary'!$L$35=1, RANK(E60,E$8:E$81,1)+COUNTIF($E$8:E60,E60)-1))))</f>
        <v>29</v>
      </c>
      <c r="U60" s="34">
        <f>IF('AAA Summary'!$L$35=4, H60, IF('AAA Summary'!$L$35=3, G60, IF('AAA Summary'!$L$35=2, F60, IF('AAA Summary'!$L$35=1, E60))))</f>
        <v>0.92452829999999997</v>
      </c>
      <c r="V60">
        <f t="shared" si="21"/>
        <v>15</v>
      </c>
      <c r="W60" s="11">
        <f t="shared" si="8"/>
        <v>77.358490566037744</v>
      </c>
      <c r="X60">
        <v>63.790400000000005</v>
      </c>
      <c r="Y60">
        <v>87.717259999999996</v>
      </c>
      <c r="Z60">
        <f t="shared" si="9"/>
        <v>13.568090566037739</v>
      </c>
      <c r="AA60">
        <f t="shared" si="10"/>
        <v>23.926859999999991</v>
      </c>
      <c r="AB60" t="s">
        <v>1008</v>
      </c>
      <c r="AC60">
        <v>65</v>
      </c>
      <c r="AD60">
        <v>45</v>
      </c>
      <c r="AE60">
        <v>101</v>
      </c>
      <c r="AF60">
        <f t="shared" si="11"/>
        <v>20</v>
      </c>
      <c r="AG60">
        <f t="shared" si="12"/>
        <v>36</v>
      </c>
      <c r="AH60" s="59">
        <v>0.43</v>
      </c>
      <c r="AI60">
        <v>42.857140000000001</v>
      </c>
      <c r="AJ60">
        <v>28.819519999999997</v>
      </c>
      <c r="AK60">
        <v>57.789590000000004</v>
      </c>
      <c r="AL60">
        <f t="shared" si="13"/>
        <v>14.037620000000004</v>
      </c>
      <c r="AM60">
        <f t="shared" si="14"/>
        <v>14.932450000000003</v>
      </c>
      <c r="AN60">
        <v>10</v>
      </c>
    </row>
    <row r="61" spans="1:40" x14ac:dyDescent="0.25">
      <c r="A61" s="7" t="s">
        <v>52</v>
      </c>
      <c r="B61" s="95" t="s">
        <v>53</v>
      </c>
      <c r="C61" s="7">
        <v>42</v>
      </c>
      <c r="D61" s="7">
        <v>40</v>
      </c>
      <c r="E61" s="111">
        <v>0.85714290000000004</v>
      </c>
      <c r="F61" s="111">
        <v>1</v>
      </c>
      <c r="G61" s="111">
        <v>0.84615390000000001</v>
      </c>
      <c r="H61" s="111">
        <v>0.90476190000000001</v>
      </c>
      <c r="I61" s="62">
        <f t="shared" si="15"/>
        <v>2</v>
      </c>
      <c r="J61" s="111">
        <v>0.95238095238095233</v>
      </c>
      <c r="K61" s="111">
        <v>4.7619047619047616E-2</v>
      </c>
      <c r="L61" s="7" t="s">
        <v>237</v>
      </c>
      <c r="M61" s="7" t="s">
        <v>617</v>
      </c>
      <c r="N61" s="61">
        <v>0</v>
      </c>
      <c r="O61" t="str">
        <f t="shared" si="16"/>
        <v>RJ7</v>
      </c>
      <c r="P61" s="26">
        <f t="shared" si="17"/>
        <v>2</v>
      </c>
      <c r="Q61" s="26">
        <f t="shared" si="18"/>
        <v>4</v>
      </c>
      <c r="R61" s="26">
        <f t="shared" si="19"/>
        <v>1</v>
      </c>
      <c r="S61" s="26">
        <f t="shared" si="20"/>
        <v>2</v>
      </c>
      <c r="T61" s="46">
        <f>IF('AAA Summary'!$L$35=4, RANK(H61,H$8:H$81,1)+COUNTIF($H$8:H61,H61)-1, IF('AAA Summary'!$L$35=3, RANK(G61,G$8:G$81,1)+COUNTIF($G$8:G61,G61)-1, IF('AAA Summary'!$L$35=2, RANK(F61,F$8:F$81,1)+COUNTIF($F$8:F61,F61)-1, IF('AAA Summary'!$L$35=1, RANK(E61,E$8:E$81,1)+COUNTIF($E$8:E61,E61)-1))))</f>
        <v>20</v>
      </c>
      <c r="U61" s="34">
        <f>IF('AAA Summary'!$L$35=4, H61, IF('AAA Summary'!$L$35=3, G61, IF('AAA Summary'!$L$35=2, F61, IF('AAA Summary'!$L$35=1, E61))))</f>
        <v>0.85714290000000004</v>
      </c>
      <c r="V61">
        <f t="shared" si="21"/>
        <v>5</v>
      </c>
      <c r="W61" s="11">
        <f t="shared" si="8"/>
        <v>95.238095238095227</v>
      </c>
      <c r="X61">
        <v>83.835800000000006</v>
      </c>
      <c r="Y61">
        <v>99.418019999999999</v>
      </c>
      <c r="Z61">
        <f t="shared" si="9"/>
        <v>11.40229523809522</v>
      </c>
      <c r="AA61">
        <f t="shared" si="10"/>
        <v>15.582219999999992</v>
      </c>
      <c r="AB61" t="s">
        <v>1009</v>
      </c>
      <c r="AC61">
        <v>75</v>
      </c>
      <c r="AD61">
        <v>46</v>
      </c>
      <c r="AE61">
        <v>129</v>
      </c>
      <c r="AF61">
        <f t="shared" si="11"/>
        <v>29</v>
      </c>
      <c r="AG61">
        <f t="shared" si="12"/>
        <v>54</v>
      </c>
      <c r="AH61" s="59">
        <v>0.33</v>
      </c>
      <c r="AI61">
        <v>33.333329999999997</v>
      </c>
      <c r="AJ61">
        <v>18.556180000000001</v>
      </c>
      <c r="AK61">
        <v>50.970260000000003</v>
      </c>
      <c r="AL61">
        <f t="shared" si="13"/>
        <v>14.777149999999995</v>
      </c>
      <c r="AM61">
        <f t="shared" si="14"/>
        <v>17.636930000000007</v>
      </c>
      <c r="AN61">
        <v>21</v>
      </c>
    </row>
    <row r="62" spans="1:40" x14ac:dyDescent="0.25">
      <c r="A62" s="7" t="s">
        <v>2</v>
      </c>
      <c r="B62" s="95" t="s">
        <v>168</v>
      </c>
      <c r="C62" s="7">
        <v>42</v>
      </c>
      <c r="D62" s="7">
        <v>17</v>
      </c>
      <c r="E62" s="111">
        <v>0.97619040000000001</v>
      </c>
      <c r="F62" s="111">
        <v>0.97619040000000001</v>
      </c>
      <c r="G62" s="111">
        <v>0.97560979999999997</v>
      </c>
      <c r="H62" s="111">
        <v>0.92857140000000005</v>
      </c>
      <c r="I62" s="62">
        <f t="shared" si="15"/>
        <v>25</v>
      </c>
      <c r="J62" s="111">
        <v>0.40476190476190477</v>
      </c>
      <c r="K62" s="111">
        <v>0.59523809523809523</v>
      </c>
      <c r="L62" s="7" t="s">
        <v>241</v>
      </c>
      <c r="M62" s="7" t="s">
        <v>599</v>
      </c>
      <c r="N62" s="61">
        <v>4.7530359999999998</v>
      </c>
      <c r="O62" t="str">
        <f t="shared" si="16"/>
        <v>7A3</v>
      </c>
      <c r="P62" s="26">
        <f t="shared" si="17"/>
        <v>3</v>
      </c>
      <c r="Q62" s="26">
        <f t="shared" si="18"/>
        <v>1</v>
      </c>
      <c r="R62" s="26">
        <f t="shared" si="19"/>
        <v>3</v>
      </c>
      <c r="S62" s="26">
        <f t="shared" si="20"/>
        <v>3</v>
      </c>
      <c r="T62" s="46">
        <f>IF('AAA Summary'!$L$35=4, RANK(H62,H$8:H$81,1)+COUNTIF($H$8:H62,H62)-1, IF('AAA Summary'!$L$35=3, RANK(G62,G$8:G$81,1)+COUNTIF($G$8:G62,G62)-1, IF('AAA Summary'!$L$35=2, RANK(F62,F$8:F$81,1)+COUNTIF($F$8:F62,F62)-1, IF('AAA Summary'!$L$35=1, RANK(E62,E$8:E$81,1)+COUNTIF($E$8:E62,E62)-1))))</f>
        <v>49</v>
      </c>
      <c r="U62" s="34">
        <f>IF('AAA Summary'!$L$35=4, H62, IF('AAA Summary'!$L$35=3, G62, IF('AAA Summary'!$L$35=2, F62, IF('AAA Summary'!$L$35=1, E62))))</f>
        <v>0.97619040000000001</v>
      </c>
      <c r="V62">
        <f t="shared" si="21"/>
        <v>56</v>
      </c>
      <c r="W62" s="11">
        <f t="shared" si="8"/>
        <v>40.476190476190474</v>
      </c>
      <c r="X62">
        <v>25.629089999999998</v>
      </c>
      <c r="Y62">
        <v>56.717910000000003</v>
      </c>
      <c r="Z62">
        <f t="shared" si="9"/>
        <v>14.847100476190477</v>
      </c>
      <c r="AA62">
        <f t="shared" si="10"/>
        <v>31.088820000000005</v>
      </c>
      <c r="AB62" t="s">
        <v>1010</v>
      </c>
      <c r="AC62">
        <v>211</v>
      </c>
      <c r="AD62">
        <v>112</v>
      </c>
      <c r="AE62">
        <v>271</v>
      </c>
      <c r="AF62">
        <f t="shared" si="11"/>
        <v>99</v>
      </c>
      <c r="AG62">
        <f t="shared" si="12"/>
        <v>60</v>
      </c>
      <c r="AH62" s="59">
        <v>7.0000000000000007E-2</v>
      </c>
      <c r="AI62">
        <v>7.3170700000000002</v>
      </c>
      <c r="AJ62">
        <v>1.53515</v>
      </c>
      <c r="AK62">
        <v>19.924600000000002</v>
      </c>
      <c r="AL62">
        <f t="shared" si="13"/>
        <v>5.7819200000000004</v>
      </c>
      <c r="AM62">
        <f t="shared" si="14"/>
        <v>12.607530000000001</v>
      </c>
      <c r="AN62">
        <v>62</v>
      </c>
    </row>
    <row r="63" spans="1:40" x14ac:dyDescent="0.25">
      <c r="A63" s="7" t="s">
        <v>69</v>
      </c>
      <c r="B63" s="95" t="s">
        <v>70</v>
      </c>
      <c r="C63" s="7">
        <v>37</v>
      </c>
      <c r="D63" s="7">
        <v>21</v>
      </c>
      <c r="E63" s="111">
        <v>0.78378380000000003</v>
      </c>
      <c r="F63" s="111">
        <v>0.97297299999999998</v>
      </c>
      <c r="G63" s="111">
        <v>0.8125</v>
      </c>
      <c r="H63" s="111">
        <v>0.48648649999999999</v>
      </c>
      <c r="I63" s="62">
        <f t="shared" si="15"/>
        <v>16</v>
      </c>
      <c r="J63" s="111">
        <v>0.56756756756756754</v>
      </c>
      <c r="K63" s="111">
        <v>0.43243243243243246</v>
      </c>
      <c r="L63" s="7" t="s">
        <v>237</v>
      </c>
      <c r="M63" s="7" t="s">
        <v>625</v>
      </c>
      <c r="N63" s="61">
        <v>0</v>
      </c>
      <c r="O63" t="str">
        <f t="shared" si="16"/>
        <v>RNA</v>
      </c>
      <c r="P63" s="26">
        <f t="shared" si="17"/>
        <v>1</v>
      </c>
      <c r="Q63" s="26">
        <f t="shared" si="18"/>
        <v>1</v>
      </c>
      <c r="R63" s="26">
        <f t="shared" si="19"/>
        <v>1</v>
      </c>
      <c r="S63" s="26">
        <f t="shared" si="20"/>
        <v>1</v>
      </c>
      <c r="T63" s="46">
        <f>IF('AAA Summary'!$L$35=4, RANK(H63,H$8:H$81,1)+COUNTIF($H$8:H63,H63)-1, IF('AAA Summary'!$L$35=3, RANK(G63,G$8:G$81,1)+COUNTIF($G$8:G63,G63)-1, IF('AAA Summary'!$L$35=2, RANK(F63,F$8:F$81,1)+COUNTIF($F$8:F63,F63)-1, IF('AAA Summary'!$L$35=1, RANK(E63,E$8:E$81,1)+COUNTIF($E$8:E63,E63)-1))))</f>
        <v>10</v>
      </c>
      <c r="U63" s="34">
        <f>IF('AAA Summary'!$L$35=4, H63, IF('AAA Summary'!$L$35=3, G63, IF('AAA Summary'!$L$35=2, F63, IF('AAA Summary'!$L$35=1, E63))))</f>
        <v>0.78378380000000003</v>
      </c>
      <c r="V63">
        <f t="shared" si="21"/>
        <v>36</v>
      </c>
      <c r="W63" s="11">
        <f t="shared" si="8"/>
        <v>56.756756756756758</v>
      </c>
      <c r="X63">
        <v>39.488440000000004</v>
      </c>
      <c r="Y63">
        <v>72.902069999999995</v>
      </c>
      <c r="Z63">
        <f t="shared" si="9"/>
        <v>17.268316756756754</v>
      </c>
      <c r="AA63">
        <f t="shared" si="10"/>
        <v>33.413629999999991</v>
      </c>
      <c r="AB63" t="s">
        <v>1011</v>
      </c>
      <c r="AC63">
        <v>90</v>
      </c>
      <c r="AD63">
        <v>56</v>
      </c>
      <c r="AE63">
        <v>131</v>
      </c>
      <c r="AF63">
        <f t="shared" si="11"/>
        <v>34</v>
      </c>
      <c r="AG63">
        <f t="shared" si="12"/>
        <v>41</v>
      </c>
      <c r="AH63" s="59">
        <v>0.28000000000000003</v>
      </c>
      <c r="AI63">
        <v>27.586210000000001</v>
      </c>
      <c r="AJ63">
        <v>12.734010000000001</v>
      </c>
      <c r="AK63">
        <v>47.23845</v>
      </c>
      <c r="AL63">
        <f t="shared" si="13"/>
        <v>14.8522</v>
      </c>
      <c r="AM63">
        <f t="shared" si="14"/>
        <v>19.652239999999999</v>
      </c>
      <c r="AN63">
        <v>35</v>
      </c>
    </row>
    <row r="64" spans="1:40" x14ac:dyDescent="0.25">
      <c r="A64" s="7" t="s">
        <v>13</v>
      </c>
      <c r="B64" s="95" t="s">
        <v>14</v>
      </c>
      <c r="C64" s="7">
        <v>4</v>
      </c>
      <c r="D64" s="7">
        <v>4</v>
      </c>
      <c r="E64" s="111">
        <v>1</v>
      </c>
      <c r="F64" s="111">
        <v>1</v>
      </c>
      <c r="G64" s="111">
        <v>1</v>
      </c>
      <c r="H64" s="111">
        <v>1</v>
      </c>
      <c r="I64" s="62">
        <f t="shared" si="15"/>
        <v>0</v>
      </c>
      <c r="J64" s="111">
        <v>1</v>
      </c>
      <c r="K64" s="111">
        <v>0</v>
      </c>
      <c r="L64" s="7" t="s">
        <v>605</v>
      </c>
      <c r="M64" s="7" t="s">
        <v>604</v>
      </c>
      <c r="N64" s="61">
        <v>0</v>
      </c>
      <c r="O64" t="str">
        <f t="shared" si="16"/>
        <v>RA9</v>
      </c>
      <c r="P64" s="26">
        <f t="shared" si="17"/>
        <v>4</v>
      </c>
      <c r="Q64" s="26">
        <f t="shared" si="18"/>
        <v>4</v>
      </c>
      <c r="R64" s="26">
        <f t="shared" si="19"/>
        <v>4</v>
      </c>
      <c r="S64" s="26">
        <f t="shared" si="20"/>
        <v>4</v>
      </c>
      <c r="T64" s="46">
        <f>IF('AAA Summary'!$L$35=4, RANK(H64,H$8:H$81,1)+COUNTIF($H$8:H64,H64)-1, IF('AAA Summary'!$L$35=3, RANK(G64,G$8:G$81,1)+COUNTIF($G$8:G64,G64)-1, IF('AAA Summary'!$L$35=2, RANK(F64,F$8:F$81,1)+COUNTIF($F$8:F64,F64)-1, IF('AAA Summary'!$L$35=1, RANK(E64,E$8:E$81,1)+COUNTIF($E$8:E64,E64)-1))))</f>
        <v>66</v>
      </c>
      <c r="U64" s="34">
        <f>IF('AAA Summary'!$L$35=4, H64, IF('AAA Summary'!$L$35=3, G64, IF('AAA Summary'!$L$35=2, F64, IF('AAA Summary'!$L$35=1, E64))))</f>
        <v>1</v>
      </c>
      <c r="V64">
        <f t="shared" si="21"/>
        <v>1</v>
      </c>
      <c r="W64" s="11">
        <f t="shared" si="8"/>
        <v>100</v>
      </c>
      <c r="X64" t="e">
        <v>#N/A</v>
      </c>
      <c r="Y64" t="e">
        <v>#N/A</v>
      </c>
      <c r="Z64" t="e">
        <f t="shared" si="9"/>
        <v>#N/A</v>
      </c>
      <c r="AA64" t="e">
        <f t="shared" si="10"/>
        <v>#N/A</v>
      </c>
      <c r="AB64" t="e">
        <v>#N/A</v>
      </c>
      <c r="AC64" t="e">
        <v>#N/A</v>
      </c>
      <c r="AD64" t="e">
        <v>#N/A</v>
      </c>
      <c r="AE64" t="e">
        <v>#N/A</v>
      </c>
      <c r="AF64" t="e">
        <f t="shared" si="11"/>
        <v>#N/A</v>
      </c>
      <c r="AG64" t="e">
        <f t="shared" si="12"/>
        <v>#N/A</v>
      </c>
      <c r="AH64" t="e">
        <v>#N/A</v>
      </c>
      <c r="AI64" t="e">
        <v>#N/A</v>
      </c>
      <c r="AJ64" t="e">
        <v>#N/A</v>
      </c>
      <c r="AK64" t="e">
        <v>#N/A</v>
      </c>
      <c r="AL64" t="e">
        <f t="shared" si="13"/>
        <v>#N/A</v>
      </c>
      <c r="AM64" t="e">
        <f t="shared" si="14"/>
        <v>#N/A</v>
      </c>
      <c r="AN64" t="e">
        <v>#N/A</v>
      </c>
    </row>
    <row r="65" spans="1:40" x14ac:dyDescent="0.25">
      <c r="A65" s="7" t="s">
        <v>107</v>
      </c>
      <c r="B65" s="95" t="s">
        <v>108</v>
      </c>
      <c r="C65" s="7">
        <v>41</v>
      </c>
      <c r="D65" s="7">
        <v>19</v>
      </c>
      <c r="E65" s="111">
        <v>1</v>
      </c>
      <c r="F65" s="111">
        <v>1</v>
      </c>
      <c r="G65" s="111">
        <v>1</v>
      </c>
      <c r="H65" s="111">
        <v>0.97560979999999997</v>
      </c>
      <c r="I65" s="62">
        <f t="shared" si="15"/>
        <v>22</v>
      </c>
      <c r="J65" s="111">
        <v>0.46341463414634149</v>
      </c>
      <c r="K65" s="111">
        <v>0.53658536585365857</v>
      </c>
      <c r="L65" s="7" t="s">
        <v>241</v>
      </c>
      <c r="M65" s="7" t="s">
        <v>187</v>
      </c>
      <c r="N65" s="61">
        <v>0.99505089999999996</v>
      </c>
      <c r="O65" t="str">
        <f t="shared" si="16"/>
        <v>RWD</v>
      </c>
      <c r="P65" s="26">
        <f t="shared" si="17"/>
        <v>4</v>
      </c>
      <c r="Q65" s="26">
        <f t="shared" si="18"/>
        <v>4</v>
      </c>
      <c r="R65" s="26">
        <f t="shared" si="19"/>
        <v>4</v>
      </c>
      <c r="S65" s="26">
        <f t="shared" si="20"/>
        <v>3</v>
      </c>
      <c r="T65" s="46">
        <f>IF('AAA Summary'!$L$35=4, RANK(H65,H$8:H$81,1)+COUNTIF($H$8:H65,H65)-1, IF('AAA Summary'!$L$35=3, RANK(G65,G$8:G$81,1)+COUNTIF($G$8:G65,G65)-1, IF('AAA Summary'!$L$35=2, RANK(F65,F$8:F$81,1)+COUNTIF($F$8:F65,F65)-1, IF('AAA Summary'!$L$35=1, RANK(E65,E$8:E$81,1)+COUNTIF($E$8:E65,E65)-1))))</f>
        <v>67</v>
      </c>
      <c r="U65" s="34">
        <f>IF('AAA Summary'!$L$35=4, H65, IF('AAA Summary'!$L$35=3, G65, IF('AAA Summary'!$L$35=2, F65, IF('AAA Summary'!$L$35=1, E65))))</f>
        <v>1</v>
      </c>
      <c r="V65">
        <f t="shared" si="21"/>
        <v>50</v>
      </c>
      <c r="W65" s="11">
        <f t="shared" si="8"/>
        <v>46.341463414634148</v>
      </c>
      <c r="X65">
        <v>30.655939999999998</v>
      </c>
      <c r="Y65">
        <v>62.575159999999997</v>
      </c>
      <c r="Z65">
        <f t="shared" si="9"/>
        <v>15.685523414634151</v>
      </c>
      <c r="AA65">
        <f t="shared" si="10"/>
        <v>31.919219999999999</v>
      </c>
      <c r="AB65" t="s">
        <v>1012</v>
      </c>
      <c r="AC65">
        <v>96</v>
      </c>
      <c r="AD65">
        <v>63</v>
      </c>
      <c r="AE65">
        <v>110</v>
      </c>
      <c r="AF65">
        <f t="shared" si="11"/>
        <v>33</v>
      </c>
      <c r="AG65">
        <f t="shared" si="12"/>
        <v>14</v>
      </c>
      <c r="AH65" s="59">
        <v>0.22</v>
      </c>
      <c r="AI65">
        <v>21.951219999999999</v>
      </c>
      <c r="AJ65">
        <v>10.560799999999999</v>
      </c>
      <c r="AK65">
        <v>37.613750000000003</v>
      </c>
      <c r="AL65">
        <f t="shared" si="13"/>
        <v>11.390420000000001</v>
      </c>
      <c r="AM65">
        <f t="shared" si="14"/>
        <v>15.662530000000004</v>
      </c>
      <c r="AN65">
        <v>37</v>
      </c>
    </row>
    <row r="66" spans="1:40" x14ac:dyDescent="0.25">
      <c r="A66" s="7" t="s">
        <v>54</v>
      </c>
      <c r="B66" s="95" t="s">
        <v>55</v>
      </c>
      <c r="C66" s="7">
        <v>108</v>
      </c>
      <c r="D66" s="7">
        <v>59</v>
      </c>
      <c r="E66" s="111">
        <v>0.97222220000000004</v>
      </c>
      <c r="F66" s="111">
        <v>1</v>
      </c>
      <c r="G66" s="111">
        <v>0.96590909999999996</v>
      </c>
      <c r="H66" s="111">
        <v>0.92592589999999997</v>
      </c>
      <c r="I66" s="62">
        <f t="shared" si="15"/>
        <v>49</v>
      </c>
      <c r="J66" s="111">
        <v>0.54629629629629628</v>
      </c>
      <c r="K66" s="111">
        <v>0.45370370370370372</v>
      </c>
      <c r="L66" s="7" t="s">
        <v>189</v>
      </c>
      <c r="M66" s="7" t="s">
        <v>260</v>
      </c>
      <c r="N66" s="61">
        <v>2.3698299999999999</v>
      </c>
      <c r="O66" t="str">
        <f t="shared" si="16"/>
        <v>RJE</v>
      </c>
      <c r="P66" s="26">
        <f t="shared" si="17"/>
        <v>3</v>
      </c>
      <c r="Q66" s="26">
        <f t="shared" si="18"/>
        <v>4</v>
      </c>
      <c r="R66" s="26">
        <f t="shared" si="19"/>
        <v>3</v>
      </c>
      <c r="S66" s="26">
        <f t="shared" si="20"/>
        <v>3</v>
      </c>
      <c r="T66" s="46">
        <f>IF('AAA Summary'!$L$35=4, RANK(H66,H$8:H$81,1)+COUNTIF($H$8:H66,H66)-1, IF('AAA Summary'!$L$35=3, RANK(G66,G$8:G$81,1)+COUNTIF($G$8:G66,G66)-1, IF('AAA Summary'!$L$35=2, RANK(F66,F$8:F$81,1)+COUNTIF($F$8:F66,F66)-1, IF('AAA Summary'!$L$35=1, RANK(E66,E$8:E$81,1)+COUNTIF($E$8:E66,E66)-1))))</f>
        <v>46</v>
      </c>
      <c r="U66" s="34">
        <f>IF('AAA Summary'!$L$35=4, H66, IF('AAA Summary'!$L$35=3, G66, IF('AAA Summary'!$L$35=2, F66, IF('AAA Summary'!$L$35=1, E66))))</f>
        <v>0.97222220000000004</v>
      </c>
      <c r="V66">
        <f t="shared" si="21"/>
        <v>41</v>
      </c>
      <c r="W66" s="11">
        <f t="shared" si="8"/>
        <v>54.629629629629626</v>
      </c>
      <c r="X66">
        <v>44.763350000000003</v>
      </c>
      <c r="Y66">
        <v>64.235590000000002</v>
      </c>
      <c r="Z66">
        <f t="shared" si="9"/>
        <v>9.8662796296296236</v>
      </c>
      <c r="AA66">
        <f t="shared" si="10"/>
        <v>19.472239999999999</v>
      </c>
      <c r="AB66" t="s">
        <v>1013</v>
      </c>
      <c r="AC66">
        <v>119</v>
      </c>
      <c r="AD66">
        <v>71</v>
      </c>
      <c r="AE66">
        <v>194</v>
      </c>
      <c r="AF66">
        <f t="shared" si="11"/>
        <v>48</v>
      </c>
      <c r="AG66">
        <f t="shared" si="12"/>
        <v>75</v>
      </c>
      <c r="AH66" s="59">
        <v>0.18</v>
      </c>
      <c r="AI66">
        <v>18.09524</v>
      </c>
      <c r="AJ66">
        <v>11.26051</v>
      </c>
      <c r="AK66">
        <v>26.806699999999999</v>
      </c>
      <c r="AL66">
        <f t="shared" si="13"/>
        <v>6.8347300000000004</v>
      </c>
      <c r="AM66">
        <f t="shared" si="14"/>
        <v>8.7114599999999989</v>
      </c>
      <c r="AN66">
        <v>48</v>
      </c>
    </row>
    <row r="67" spans="1:40" x14ac:dyDescent="0.25">
      <c r="A67" s="7" t="s">
        <v>44</v>
      </c>
      <c r="B67" s="95" t="s">
        <v>45</v>
      </c>
      <c r="C67" s="7">
        <v>69</v>
      </c>
      <c r="D67" s="7">
        <v>46</v>
      </c>
      <c r="E67" s="111">
        <v>0.84057970000000004</v>
      </c>
      <c r="F67" s="111">
        <v>1</v>
      </c>
      <c r="G67" s="111">
        <v>0.86885239999999997</v>
      </c>
      <c r="H67" s="111">
        <v>0.76811589999999996</v>
      </c>
      <c r="I67" s="62">
        <f t="shared" si="15"/>
        <v>23</v>
      </c>
      <c r="J67" s="111">
        <v>0.66666666666666663</v>
      </c>
      <c r="K67" s="111">
        <v>0.33333333333333331</v>
      </c>
      <c r="L67" s="7" t="s">
        <v>194</v>
      </c>
      <c r="M67" s="7" t="s">
        <v>186</v>
      </c>
      <c r="N67" s="61">
        <v>0.92936470000000004</v>
      </c>
      <c r="O67" t="str">
        <f t="shared" si="16"/>
        <v>RHM</v>
      </c>
      <c r="P67" s="26">
        <f t="shared" si="17"/>
        <v>1</v>
      </c>
      <c r="Q67" s="26">
        <f t="shared" si="18"/>
        <v>4</v>
      </c>
      <c r="R67" s="26">
        <f t="shared" si="19"/>
        <v>2</v>
      </c>
      <c r="S67" s="26">
        <f t="shared" si="20"/>
        <v>1</v>
      </c>
      <c r="T67" s="46">
        <f>IF('AAA Summary'!$L$35=4, RANK(H67,H$8:H$81,1)+COUNTIF($H$8:H67,H67)-1, IF('AAA Summary'!$L$35=3, RANK(G67,G$8:G$81,1)+COUNTIF($G$8:G67,G67)-1, IF('AAA Summary'!$L$35=2, RANK(F67,F$8:F$81,1)+COUNTIF($F$8:F67,F67)-1, IF('AAA Summary'!$L$35=1, RANK(E67,E$8:E$81,1)+COUNTIF($E$8:E67,E67)-1))))</f>
        <v>17</v>
      </c>
      <c r="U67" s="34">
        <f>IF('AAA Summary'!$L$35=4, H67, IF('AAA Summary'!$L$35=3, G67, IF('AAA Summary'!$L$35=2, F67, IF('AAA Summary'!$L$35=1, E67))))</f>
        <v>0.84057970000000004</v>
      </c>
      <c r="V67">
        <f t="shared" si="21"/>
        <v>23</v>
      </c>
      <c r="W67" s="11">
        <f t="shared" si="8"/>
        <v>66.666666666666657</v>
      </c>
      <c r="X67">
        <v>54.288159999999998</v>
      </c>
      <c r="Y67">
        <v>77.563249999999996</v>
      </c>
      <c r="Z67">
        <f t="shared" si="9"/>
        <v>12.378506666666659</v>
      </c>
      <c r="AA67">
        <f t="shared" si="10"/>
        <v>23.275089999999999</v>
      </c>
      <c r="AB67" t="s">
        <v>1014</v>
      </c>
      <c r="AC67">
        <v>69</v>
      </c>
      <c r="AD67">
        <v>38</v>
      </c>
      <c r="AE67">
        <v>108</v>
      </c>
      <c r="AF67">
        <f t="shared" si="11"/>
        <v>31</v>
      </c>
      <c r="AG67">
        <f t="shared" si="12"/>
        <v>39</v>
      </c>
      <c r="AH67" s="59">
        <v>0.41</v>
      </c>
      <c r="AI67">
        <v>41.379310000000004</v>
      </c>
      <c r="AJ67">
        <v>28.596329999999998</v>
      </c>
      <c r="AK67">
        <v>55.073380000000007</v>
      </c>
      <c r="AL67">
        <f t="shared" si="13"/>
        <v>12.782980000000006</v>
      </c>
      <c r="AM67">
        <f t="shared" si="14"/>
        <v>13.694070000000004</v>
      </c>
      <c r="AN67">
        <v>15</v>
      </c>
    </row>
    <row r="68" spans="1:40" x14ac:dyDescent="0.25">
      <c r="A68" s="7" t="s">
        <v>525</v>
      </c>
      <c r="B68" s="95" t="s">
        <v>526</v>
      </c>
      <c r="C68" s="7">
        <v>61</v>
      </c>
      <c r="D68" s="7">
        <v>44</v>
      </c>
      <c r="E68" s="111">
        <v>0.96721310000000005</v>
      </c>
      <c r="F68" s="111">
        <v>0.9836066</v>
      </c>
      <c r="G68" s="111">
        <v>0.96666660000000004</v>
      </c>
      <c r="H68" s="111">
        <v>1</v>
      </c>
      <c r="I68" s="62">
        <f t="shared" si="15"/>
        <v>17</v>
      </c>
      <c r="J68" s="111">
        <v>0.72131147540983609</v>
      </c>
      <c r="K68" s="111">
        <v>0.27868852459016391</v>
      </c>
      <c r="L68" s="7" t="s">
        <v>235</v>
      </c>
      <c r="M68" s="7" t="s">
        <v>332</v>
      </c>
      <c r="N68" s="61">
        <v>0</v>
      </c>
      <c r="O68" t="str">
        <f t="shared" si="16"/>
        <v>RYR</v>
      </c>
      <c r="P68" s="26">
        <f t="shared" si="17"/>
        <v>3</v>
      </c>
      <c r="Q68" s="26">
        <f t="shared" si="18"/>
        <v>2</v>
      </c>
      <c r="R68" s="26">
        <f t="shared" si="19"/>
        <v>3</v>
      </c>
      <c r="S68" s="26">
        <f t="shared" si="20"/>
        <v>4</v>
      </c>
      <c r="T68" s="46">
        <f>IF('AAA Summary'!$L$35=4, RANK(H68,H$8:H$81,1)+COUNTIF($H$8:H68,H68)-1, IF('AAA Summary'!$L$35=3, RANK(G68,G$8:G$81,1)+COUNTIF($G$8:G68,G68)-1, IF('AAA Summary'!$L$35=2, RANK(F68,F$8:F$81,1)+COUNTIF($F$8:F68,F68)-1, IF('AAA Summary'!$L$35=1, RANK(E68,E$8:E$81,1)+COUNTIF($E$8:E68,E68)-1))))</f>
        <v>44</v>
      </c>
      <c r="U68" s="34">
        <f>IF('AAA Summary'!$L$35=4, H68, IF('AAA Summary'!$L$35=3, G68, IF('AAA Summary'!$L$35=2, F68, IF('AAA Summary'!$L$35=1, E68))))</f>
        <v>0.96721310000000005</v>
      </c>
      <c r="V68">
        <f t="shared" si="21"/>
        <v>20</v>
      </c>
      <c r="W68" s="11">
        <f t="shared" si="8"/>
        <v>72.131147540983605</v>
      </c>
      <c r="X68">
        <v>59.171250000000001</v>
      </c>
      <c r="Y68">
        <v>82.852789999999999</v>
      </c>
      <c r="Z68">
        <f t="shared" si="9"/>
        <v>12.959897540983604</v>
      </c>
      <c r="AA68">
        <f t="shared" si="10"/>
        <v>23.681539999999998</v>
      </c>
      <c r="AB68" t="s">
        <v>1015</v>
      </c>
      <c r="AC68">
        <v>154</v>
      </c>
      <c r="AD68">
        <v>71</v>
      </c>
      <c r="AE68">
        <v>218</v>
      </c>
      <c r="AF68">
        <f t="shared" si="11"/>
        <v>83</v>
      </c>
      <c r="AG68">
        <f t="shared" si="12"/>
        <v>64</v>
      </c>
      <c r="AH68" s="59">
        <v>0.19</v>
      </c>
      <c r="AI68">
        <v>18.644069999999999</v>
      </c>
      <c r="AJ68">
        <v>9.6919500000000003</v>
      </c>
      <c r="AK68">
        <v>30.914860000000001</v>
      </c>
      <c r="AL68">
        <f t="shared" si="13"/>
        <v>8.952119999999999</v>
      </c>
      <c r="AM68">
        <f t="shared" si="14"/>
        <v>12.270790000000002</v>
      </c>
      <c r="AN68">
        <v>58</v>
      </c>
    </row>
    <row r="69" spans="1:40" x14ac:dyDescent="0.25">
      <c r="A69" s="7" t="s">
        <v>85</v>
      </c>
      <c r="B69" s="95" t="s">
        <v>86</v>
      </c>
      <c r="C69" s="7">
        <v>39</v>
      </c>
      <c r="D69" s="7">
        <v>31</v>
      </c>
      <c r="E69" s="111">
        <v>0.89743589999999995</v>
      </c>
      <c r="F69" s="111">
        <v>0.94871799999999995</v>
      </c>
      <c r="G69" s="111">
        <v>0.94117649999999997</v>
      </c>
      <c r="H69" s="111">
        <v>0.87179490000000004</v>
      </c>
      <c r="I69" s="62">
        <f t="shared" si="15"/>
        <v>8</v>
      </c>
      <c r="J69" s="111">
        <v>0.79487179487179482</v>
      </c>
      <c r="K69" s="111">
        <v>0.20512820512820512</v>
      </c>
      <c r="L69" s="7" t="s">
        <v>220</v>
      </c>
      <c r="M69" s="7" t="s">
        <v>630</v>
      </c>
      <c r="N69" s="61">
        <v>2.8768060000000002</v>
      </c>
      <c r="O69" t="str">
        <f t="shared" si="16"/>
        <v>RRK</v>
      </c>
      <c r="P69" s="26">
        <f t="shared" si="17"/>
        <v>2</v>
      </c>
      <c r="Q69" s="26">
        <f t="shared" si="18"/>
        <v>1</v>
      </c>
      <c r="R69" s="26">
        <f t="shared" si="19"/>
        <v>2</v>
      </c>
      <c r="S69" s="26">
        <f t="shared" si="20"/>
        <v>2</v>
      </c>
      <c r="T69" s="46">
        <f>IF('AAA Summary'!$L$35=4, RANK(H69,H$8:H$81,1)+COUNTIF($H$8:H69,H69)-1, IF('AAA Summary'!$L$35=3, RANK(G69,G$8:G$81,1)+COUNTIF($G$8:G69,G69)-1, IF('AAA Summary'!$L$35=2, RANK(F69,F$8:F$81,1)+COUNTIF($F$8:F69,F69)-1, IF('AAA Summary'!$L$35=1, RANK(E69,E$8:E$81,1)+COUNTIF($E$8:E69,E69)-1))))</f>
        <v>24</v>
      </c>
      <c r="U69" s="34">
        <f>IF('AAA Summary'!$L$35=4, H69, IF('AAA Summary'!$L$35=3, G69, IF('AAA Summary'!$L$35=2, F69, IF('AAA Summary'!$L$35=1, E69))))</f>
        <v>0.89743589999999995</v>
      </c>
      <c r="V69">
        <f t="shared" si="21"/>
        <v>13</v>
      </c>
      <c r="W69" s="11">
        <f t="shared" si="8"/>
        <v>79.487179487179489</v>
      </c>
      <c r="X69">
        <v>63.535580000000003</v>
      </c>
      <c r="Y69">
        <v>90.703609999999998</v>
      </c>
      <c r="Z69">
        <f t="shared" si="9"/>
        <v>15.951599487179486</v>
      </c>
      <c r="AA69">
        <f t="shared" si="10"/>
        <v>27.168029999999995</v>
      </c>
      <c r="AB69" t="s">
        <v>1016</v>
      </c>
      <c r="AC69">
        <v>197</v>
      </c>
      <c r="AD69">
        <v>76</v>
      </c>
      <c r="AE69">
        <v>303</v>
      </c>
      <c r="AF69">
        <f t="shared" si="11"/>
        <v>121</v>
      </c>
      <c r="AG69">
        <f t="shared" si="12"/>
        <v>106</v>
      </c>
      <c r="AH69" s="59">
        <v>0.2</v>
      </c>
      <c r="AI69">
        <v>20</v>
      </c>
      <c r="AJ69">
        <v>8.4405999999999999</v>
      </c>
      <c r="AK69">
        <v>36.93788</v>
      </c>
      <c r="AL69">
        <f t="shared" si="13"/>
        <v>11.5594</v>
      </c>
      <c r="AM69">
        <f t="shared" si="14"/>
        <v>16.93788</v>
      </c>
      <c r="AN69">
        <v>61</v>
      </c>
    </row>
    <row r="70" spans="1:40" x14ac:dyDescent="0.25">
      <c r="A70" s="7" t="s">
        <v>61</v>
      </c>
      <c r="B70" s="95" t="s">
        <v>62</v>
      </c>
      <c r="C70" s="7">
        <v>46</v>
      </c>
      <c r="D70" s="7">
        <v>27</v>
      </c>
      <c r="E70" s="111">
        <v>0.80434779999999995</v>
      </c>
      <c r="F70" s="111">
        <v>0.97826089999999999</v>
      </c>
      <c r="G70" s="111">
        <v>0.8139535</v>
      </c>
      <c r="H70" s="111">
        <v>0.73913039999999997</v>
      </c>
      <c r="I70" s="62">
        <f t="shared" si="15"/>
        <v>19</v>
      </c>
      <c r="J70" s="111">
        <v>0.58695652173913049</v>
      </c>
      <c r="K70" s="111">
        <v>0.41304347826086957</v>
      </c>
      <c r="L70" s="7" t="s">
        <v>237</v>
      </c>
      <c r="M70" s="7" t="s">
        <v>187</v>
      </c>
      <c r="N70" s="61">
        <v>0.75126139999999997</v>
      </c>
      <c r="O70" t="str">
        <f t="shared" si="16"/>
        <v>RKB</v>
      </c>
      <c r="P70" s="26">
        <f t="shared" si="17"/>
        <v>1</v>
      </c>
      <c r="Q70" s="26">
        <f t="shared" si="18"/>
        <v>2</v>
      </c>
      <c r="R70" s="26">
        <f t="shared" si="19"/>
        <v>1</v>
      </c>
      <c r="S70" s="26">
        <f t="shared" si="20"/>
        <v>1</v>
      </c>
      <c r="T70" s="46">
        <f>IF('AAA Summary'!$L$35=4, RANK(H70,H$8:H$81,1)+COUNTIF($H$8:H70,H70)-1, IF('AAA Summary'!$L$35=3, RANK(G70,G$8:G$81,1)+COUNTIF($G$8:G70,G70)-1, IF('AAA Summary'!$L$35=2, RANK(F70,F$8:F$81,1)+COUNTIF($F$8:F70,F70)-1, IF('AAA Summary'!$L$35=1, RANK(E70,E$8:E$81,1)+COUNTIF($E$8:E70,E70)-1))))</f>
        <v>11</v>
      </c>
      <c r="U70" s="34">
        <f>IF('AAA Summary'!$L$35=4, H70, IF('AAA Summary'!$L$35=3, G70, IF('AAA Summary'!$L$35=2, F70, IF('AAA Summary'!$L$35=1, E70))))</f>
        <v>0.80434779999999995</v>
      </c>
      <c r="V70">
        <f t="shared" si="21"/>
        <v>35</v>
      </c>
      <c r="W70" s="11">
        <f t="shared" si="8"/>
        <v>58.695652173913047</v>
      </c>
      <c r="X70">
        <v>43.227240000000002</v>
      </c>
      <c r="Y70">
        <v>73.00254000000001</v>
      </c>
      <c r="Z70">
        <f t="shared" si="9"/>
        <v>15.468412173913045</v>
      </c>
      <c r="AA70">
        <f t="shared" si="10"/>
        <v>29.775300000000009</v>
      </c>
      <c r="AB70" t="s">
        <v>1017</v>
      </c>
      <c r="AC70">
        <v>96</v>
      </c>
      <c r="AD70">
        <v>65</v>
      </c>
      <c r="AE70">
        <v>144</v>
      </c>
      <c r="AF70">
        <f t="shared" si="11"/>
        <v>31</v>
      </c>
      <c r="AG70">
        <f t="shared" si="12"/>
        <v>48</v>
      </c>
      <c r="AH70" s="59">
        <v>0.22</v>
      </c>
      <c r="AI70">
        <v>21.62162</v>
      </c>
      <c r="AJ70">
        <v>9.8265599999999989</v>
      </c>
      <c r="AK70">
        <v>38.213650000000001</v>
      </c>
      <c r="AL70">
        <f t="shared" si="13"/>
        <v>11.795060000000001</v>
      </c>
      <c r="AM70">
        <f t="shared" si="14"/>
        <v>16.592030000000001</v>
      </c>
      <c r="AN70">
        <v>38</v>
      </c>
    </row>
    <row r="71" spans="1:40" x14ac:dyDescent="0.25">
      <c r="A71" s="7" t="s">
        <v>501</v>
      </c>
      <c r="B71" s="95" t="s">
        <v>502</v>
      </c>
      <c r="C71" s="7">
        <v>64</v>
      </c>
      <c r="D71" s="7">
        <v>36</v>
      </c>
      <c r="E71" s="111">
        <v>0.984375</v>
      </c>
      <c r="F71" s="111">
        <v>0.984375</v>
      </c>
      <c r="G71" s="111">
        <v>0.9836066</v>
      </c>
      <c r="H71" s="111">
        <v>0.984375</v>
      </c>
      <c r="I71" s="62">
        <f t="shared" si="15"/>
        <v>28</v>
      </c>
      <c r="J71" s="111">
        <v>0.5625</v>
      </c>
      <c r="K71" s="111">
        <v>0.4375</v>
      </c>
      <c r="L71" s="7" t="s">
        <v>600</v>
      </c>
      <c r="M71" s="7" t="s">
        <v>601</v>
      </c>
      <c r="N71" s="61">
        <v>0.59011040000000003</v>
      </c>
      <c r="O71" t="str">
        <f t="shared" si="16"/>
        <v>R0D</v>
      </c>
      <c r="P71" s="26">
        <f t="shared" si="17"/>
        <v>4</v>
      </c>
      <c r="Q71" s="26">
        <f t="shared" si="18"/>
        <v>2</v>
      </c>
      <c r="R71" s="26">
        <f t="shared" si="19"/>
        <v>3</v>
      </c>
      <c r="S71" s="26">
        <f t="shared" si="20"/>
        <v>3</v>
      </c>
      <c r="T71" s="46">
        <f>IF('AAA Summary'!$L$35=4, RANK(H71,H$8:H$81,1)+COUNTIF($H$8:H71,H71)-1, IF('AAA Summary'!$L$35=3, RANK(G71,G$8:G$81,1)+COUNTIF($G$8:G71,G71)-1, IF('AAA Summary'!$L$35=2, RANK(F71,F$8:F$81,1)+COUNTIF($F$8:F71,F71)-1, IF('AAA Summary'!$L$35=1, RANK(E71,E$8:E$81,1)+COUNTIF($E$8:E71,E71)-1))))</f>
        <v>53</v>
      </c>
      <c r="U71" s="34">
        <f>IF('AAA Summary'!$L$35=4, H71, IF('AAA Summary'!$L$35=3, G71, IF('AAA Summary'!$L$35=2, F71, IF('AAA Summary'!$L$35=1, E71))))</f>
        <v>0.984375</v>
      </c>
      <c r="V71">
        <f t="shared" si="21"/>
        <v>37</v>
      </c>
      <c r="W71" s="11">
        <f t="shared" si="8"/>
        <v>56.25</v>
      </c>
      <c r="X71">
        <v>43.275889999999997</v>
      </c>
      <c r="Y71">
        <v>68.626519999999999</v>
      </c>
      <c r="Z71">
        <f t="shared" si="9"/>
        <v>12.974110000000003</v>
      </c>
      <c r="AA71">
        <f t="shared" si="10"/>
        <v>25.350630000000002</v>
      </c>
      <c r="AB71" t="s">
        <v>1018</v>
      </c>
      <c r="AC71">
        <v>81</v>
      </c>
      <c r="AD71">
        <v>48</v>
      </c>
      <c r="AE71">
        <v>148</v>
      </c>
      <c r="AF71">
        <f t="shared" si="11"/>
        <v>33</v>
      </c>
      <c r="AG71">
        <f t="shared" si="12"/>
        <v>67</v>
      </c>
      <c r="AH71" s="59">
        <v>0.35</v>
      </c>
      <c r="AI71">
        <v>34.920639999999999</v>
      </c>
      <c r="AJ71">
        <v>23.337060000000001</v>
      </c>
      <c r="AK71">
        <v>47.973379999999999</v>
      </c>
      <c r="AL71">
        <f t="shared" si="13"/>
        <v>11.583579999999998</v>
      </c>
      <c r="AM71">
        <f t="shared" si="14"/>
        <v>13.05274</v>
      </c>
      <c r="AN71">
        <v>27</v>
      </c>
    </row>
    <row r="72" spans="1:40" x14ac:dyDescent="0.25">
      <c r="A72" s="7" t="s">
        <v>95</v>
      </c>
      <c r="B72" s="95" t="s">
        <v>285</v>
      </c>
      <c r="C72" s="7">
        <v>55</v>
      </c>
      <c r="D72" s="7">
        <v>42</v>
      </c>
      <c r="E72" s="111">
        <v>0.98181819999999997</v>
      </c>
      <c r="F72" s="111">
        <v>0.98181819999999997</v>
      </c>
      <c r="G72" s="111">
        <v>1</v>
      </c>
      <c r="H72" s="111">
        <v>1</v>
      </c>
      <c r="I72" s="62">
        <f t="shared" ref="I72:I77" si="22">C72-D72</f>
        <v>13</v>
      </c>
      <c r="J72" s="111">
        <v>0.76363636363636367</v>
      </c>
      <c r="K72" s="111">
        <v>0.23636363636363636</v>
      </c>
      <c r="L72" s="7" t="s">
        <v>240</v>
      </c>
      <c r="M72" s="7" t="s">
        <v>254</v>
      </c>
      <c r="N72" s="61">
        <v>1.8763479999999999</v>
      </c>
      <c r="O72" t="str">
        <f t="shared" ref="O72:O77" si="23">A72</f>
        <v>RTG</v>
      </c>
      <c r="P72" s="26">
        <f t="shared" ref="P72:P77" si="24">+IF(E72&lt;E$2,1,IF(E72&lt;E$3,2,IF(E72&lt;E$4,3,4)))</f>
        <v>3</v>
      </c>
      <c r="Q72" s="26">
        <f t="shared" ref="Q72:Q77" si="25">+IF(F72&lt;F$2,1,IF(F72&lt;F$3,2,IF(F72&lt;F$4,3,4)))</f>
        <v>2</v>
      </c>
      <c r="R72" s="26">
        <f t="shared" ref="R72:R77" si="26">+IF(G72&lt;G$2,1,IF(G72&lt;G$3,2,IF(G72&lt;G$4,3,4)))</f>
        <v>4</v>
      </c>
      <c r="S72" s="26">
        <f t="shared" ref="S72:S77" si="27">+IF(H72&lt;H$2,1,IF(H72&lt;H$3,2,IF(H72&lt;H$4,3,4)))</f>
        <v>4</v>
      </c>
      <c r="T72" s="46">
        <f>IF('AAA Summary'!$L$35=4, RANK(H72,H$8:H$81,1)+COUNTIF($H$8:H72,H72)-1, IF('AAA Summary'!$L$35=3, RANK(G72,G$8:G$81,1)+COUNTIF($G$8:G72,G72)-1, IF('AAA Summary'!$L$35=2, RANK(F72,F$8:F$81,1)+COUNTIF($F$8:F72,F72)-1, IF('AAA Summary'!$L$35=1, RANK(E72,E$8:E$81,1)+COUNTIF($E$8:E72,E72)-1))))</f>
        <v>51</v>
      </c>
      <c r="U72" s="34">
        <f>IF('AAA Summary'!$L$35=4, H72, IF('AAA Summary'!$L$35=3, G72, IF('AAA Summary'!$L$35=2, F72, IF('AAA Summary'!$L$35=1, E72))))</f>
        <v>0.98181819999999997</v>
      </c>
      <c r="V72">
        <f t="shared" ref="V72:V77" si="28">RANK(J72,$J$8:$J$77)</f>
        <v>18</v>
      </c>
      <c r="W72" s="11">
        <f t="shared" si="8"/>
        <v>76.363636363636374</v>
      </c>
      <c r="X72">
        <v>62.980490000000003</v>
      </c>
      <c r="Y72">
        <v>86.772099999999995</v>
      </c>
      <c r="Z72">
        <f t="shared" si="9"/>
        <v>13.383146363636371</v>
      </c>
      <c r="AA72">
        <f t="shared" si="10"/>
        <v>23.791609999999991</v>
      </c>
      <c r="AB72" t="s">
        <v>1019</v>
      </c>
      <c r="AC72">
        <v>101</v>
      </c>
      <c r="AD72">
        <v>53</v>
      </c>
      <c r="AE72">
        <v>148</v>
      </c>
      <c r="AF72">
        <f t="shared" si="11"/>
        <v>48</v>
      </c>
      <c r="AG72">
        <f t="shared" si="12"/>
        <v>47</v>
      </c>
      <c r="AH72" s="59">
        <v>0.31</v>
      </c>
      <c r="AI72">
        <v>31.481480000000001</v>
      </c>
      <c r="AJ72">
        <v>19.52394</v>
      </c>
      <c r="AK72">
        <v>45.552399999999999</v>
      </c>
      <c r="AL72">
        <f t="shared" si="13"/>
        <v>11.957540000000002</v>
      </c>
      <c r="AM72">
        <f t="shared" si="14"/>
        <v>14.070919999999997</v>
      </c>
      <c r="AN72">
        <v>42</v>
      </c>
    </row>
    <row r="73" spans="1:40" x14ac:dyDescent="0.25">
      <c r="A73" s="7" t="s">
        <v>109</v>
      </c>
      <c r="B73" s="95" t="s">
        <v>110</v>
      </c>
      <c r="C73" s="7">
        <v>44</v>
      </c>
      <c r="D73" s="7">
        <v>32</v>
      </c>
      <c r="E73" s="111">
        <v>0.72727269999999999</v>
      </c>
      <c r="F73" s="111">
        <v>1</v>
      </c>
      <c r="G73" s="111">
        <v>0.76190480000000005</v>
      </c>
      <c r="H73" s="111">
        <v>0.84090909999999996</v>
      </c>
      <c r="I73" s="62">
        <f t="shared" si="22"/>
        <v>12</v>
      </c>
      <c r="J73" s="111">
        <v>0.72727272727272729</v>
      </c>
      <c r="K73" s="111">
        <v>0.27272727272727271</v>
      </c>
      <c r="L73" s="7" t="s">
        <v>241</v>
      </c>
      <c r="M73" s="7" t="s">
        <v>635</v>
      </c>
      <c r="N73" s="61">
        <v>1.836525</v>
      </c>
      <c r="O73" t="str">
        <f t="shared" si="23"/>
        <v>RWE</v>
      </c>
      <c r="P73" s="26">
        <f t="shared" si="24"/>
        <v>1</v>
      </c>
      <c r="Q73" s="26">
        <f t="shared" si="25"/>
        <v>4</v>
      </c>
      <c r="R73" s="26">
        <f t="shared" si="26"/>
        <v>1</v>
      </c>
      <c r="S73" s="26">
        <f t="shared" si="27"/>
        <v>2</v>
      </c>
      <c r="T73" s="46">
        <f>IF('AAA Summary'!$L$35=4, RANK(H73,H$8:H$81,1)+COUNTIF($H$8:H73,H73)-1, IF('AAA Summary'!$L$35=3, RANK(G73,G$8:G$81,1)+COUNTIF($G$8:G73,G73)-1, IF('AAA Summary'!$L$35=2, RANK(F73,F$8:F$81,1)+COUNTIF($F$8:F73,F73)-1, IF('AAA Summary'!$L$35=1, RANK(E73,E$8:E$81,1)+COUNTIF($E$8:E73,E73)-1))))</f>
        <v>7</v>
      </c>
      <c r="U73" s="34">
        <f>IF('AAA Summary'!$L$35=4, H73, IF('AAA Summary'!$L$35=3, G73, IF('AAA Summary'!$L$35=2, F73, IF('AAA Summary'!$L$35=1, E73))))</f>
        <v>0.72727269999999999</v>
      </c>
      <c r="V73">
        <f t="shared" si="28"/>
        <v>19</v>
      </c>
      <c r="W73" s="11">
        <f t="shared" ref="W73:W77" si="29">J73*100</f>
        <v>72.727272727272734</v>
      </c>
      <c r="X73">
        <v>57.210360000000001</v>
      </c>
      <c r="Y73">
        <v>85.042320000000004</v>
      </c>
      <c r="Z73">
        <f t="shared" ref="Z73:Z77" si="30">W73-X73</f>
        <v>15.516912727272732</v>
      </c>
      <c r="AA73">
        <f t="shared" ref="AA73:AA77" si="31">Y73-X73</f>
        <v>27.831960000000002</v>
      </c>
      <c r="AB73" t="s">
        <v>1020</v>
      </c>
      <c r="AC73">
        <v>100</v>
      </c>
      <c r="AD73">
        <v>67</v>
      </c>
      <c r="AE73">
        <v>219</v>
      </c>
      <c r="AF73">
        <f t="shared" ref="AF73:AF77" si="32">AC73-AD73</f>
        <v>33</v>
      </c>
      <c r="AG73">
        <f t="shared" ref="AG73:AG77" si="33">AE73-AC73</f>
        <v>119</v>
      </c>
      <c r="AH73" s="59">
        <v>0.16</v>
      </c>
      <c r="AI73">
        <v>15.625</v>
      </c>
      <c r="AJ73">
        <v>5.2750599999999999</v>
      </c>
      <c r="AK73">
        <v>32.787880000000001</v>
      </c>
      <c r="AL73">
        <f t="shared" ref="AL73:AL77" si="34">AI73-AJ73</f>
        <v>10.34994</v>
      </c>
      <c r="AM73">
        <f t="shared" ref="AM73:AM77" si="35">AK73-AI73</f>
        <v>17.162880000000001</v>
      </c>
      <c r="AN73">
        <v>41</v>
      </c>
    </row>
    <row r="74" spans="1:40" x14ac:dyDescent="0.25">
      <c r="A74" s="7" t="s">
        <v>60</v>
      </c>
      <c r="B74" s="95" t="s">
        <v>169</v>
      </c>
      <c r="C74" s="7">
        <v>29</v>
      </c>
      <c r="D74" s="7">
        <v>16</v>
      </c>
      <c r="E74" s="111">
        <v>1</v>
      </c>
      <c r="F74" s="111">
        <v>1</v>
      </c>
      <c r="G74" s="111">
        <v>1</v>
      </c>
      <c r="H74" s="111">
        <v>0.96551719999999996</v>
      </c>
      <c r="I74" s="62">
        <f t="shared" si="22"/>
        <v>13</v>
      </c>
      <c r="J74" s="111">
        <v>0.55172413793103448</v>
      </c>
      <c r="K74" s="111">
        <v>0.44827586206896552</v>
      </c>
      <c r="L74" s="7" t="s">
        <v>620</v>
      </c>
      <c r="M74" s="7" t="s">
        <v>243</v>
      </c>
      <c r="N74" s="61">
        <v>0.95330250000000005</v>
      </c>
      <c r="O74" t="str">
        <f t="shared" si="23"/>
        <v>RK9</v>
      </c>
      <c r="P74" s="26">
        <f t="shared" si="24"/>
        <v>4</v>
      </c>
      <c r="Q74" s="26">
        <f t="shared" si="25"/>
        <v>4</v>
      </c>
      <c r="R74" s="26">
        <f t="shared" si="26"/>
        <v>4</v>
      </c>
      <c r="S74" s="26">
        <f t="shared" si="27"/>
        <v>3</v>
      </c>
      <c r="T74" s="46">
        <f>IF('AAA Summary'!$L$35=4, RANK(H74,H$8:H$81,1)+COUNTIF($H$8:H74,H74)-1, IF('AAA Summary'!$L$35=3, RANK(G74,G$8:G$81,1)+COUNTIF($G$8:G74,G74)-1, IF('AAA Summary'!$L$35=2, RANK(F74,F$8:F$81,1)+COUNTIF($F$8:F74,F74)-1, IF('AAA Summary'!$L$35=1, RANK(E74,E$8:E$81,1)+COUNTIF($E$8:E74,E74)-1))))</f>
        <v>68</v>
      </c>
      <c r="U74" s="34">
        <f>IF('AAA Summary'!$L$35=4, H74, IF('AAA Summary'!$L$35=3, G74, IF('AAA Summary'!$L$35=2, F74, IF('AAA Summary'!$L$35=1, E74))))</f>
        <v>1</v>
      </c>
      <c r="V74">
        <f t="shared" si="28"/>
        <v>39</v>
      </c>
      <c r="W74" s="11">
        <f t="shared" si="29"/>
        <v>55.172413793103445</v>
      </c>
      <c r="X74">
        <v>35.693869999999997</v>
      </c>
      <c r="Y74">
        <v>73.554470000000009</v>
      </c>
      <c r="Z74">
        <f t="shared" si="30"/>
        <v>19.478543793103448</v>
      </c>
      <c r="AA74">
        <f t="shared" si="31"/>
        <v>37.860600000000012</v>
      </c>
      <c r="AB74" t="s">
        <v>1021</v>
      </c>
      <c r="AC74">
        <v>63</v>
      </c>
      <c r="AD74">
        <v>35</v>
      </c>
      <c r="AE74">
        <v>89</v>
      </c>
      <c r="AF74">
        <f t="shared" si="32"/>
        <v>28</v>
      </c>
      <c r="AG74">
        <f t="shared" si="33"/>
        <v>26</v>
      </c>
      <c r="AH74" s="59">
        <v>0.48</v>
      </c>
      <c r="AI74">
        <v>48.275860000000002</v>
      </c>
      <c r="AJ74">
        <v>29.448560000000001</v>
      </c>
      <c r="AK74">
        <v>67.468499999999992</v>
      </c>
      <c r="AL74">
        <f t="shared" si="34"/>
        <v>18.827300000000001</v>
      </c>
      <c r="AM74">
        <f t="shared" si="35"/>
        <v>19.19263999999999</v>
      </c>
      <c r="AN74">
        <v>8</v>
      </c>
    </row>
    <row r="75" spans="1:40" x14ac:dyDescent="0.25">
      <c r="A75" s="7" t="s">
        <v>111</v>
      </c>
      <c r="B75" s="95" t="s">
        <v>112</v>
      </c>
      <c r="C75" s="7">
        <v>17</v>
      </c>
      <c r="D75" s="7">
        <v>17</v>
      </c>
      <c r="E75" s="111">
        <v>1</v>
      </c>
      <c r="F75" s="111">
        <v>1</v>
      </c>
      <c r="G75" s="111">
        <v>1</v>
      </c>
      <c r="H75" s="111">
        <v>0.70588240000000002</v>
      </c>
      <c r="I75" s="62">
        <f t="shared" si="22"/>
        <v>0</v>
      </c>
      <c r="J75" s="111">
        <v>1</v>
      </c>
      <c r="K75" s="111">
        <v>0</v>
      </c>
      <c r="L75" s="7" t="s">
        <v>235</v>
      </c>
      <c r="M75" s="7" t="s">
        <v>604</v>
      </c>
      <c r="N75" s="61">
        <v>2.7558579999999999</v>
      </c>
      <c r="O75" t="str">
        <f t="shared" si="23"/>
        <v>RWG</v>
      </c>
      <c r="P75" s="26">
        <f t="shared" si="24"/>
        <v>4</v>
      </c>
      <c r="Q75" s="26">
        <f t="shared" si="25"/>
        <v>4</v>
      </c>
      <c r="R75" s="26">
        <f t="shared" si="26"/>
        <v>4</v>
      </c>
      <c r="S75" s="26">
        <f t="shared" si="27"/>
        <v>1</v>
      </c>
      <c r="T75" s="46">
        <f>IF('AAA Summary'!$L$35=4, RANK(H75,H$8:H$81,1)+COUNTIF($H$8:H75,H75)-1, IF('AAA Summary'!$L$35=3, RANK(G75,G$8:G$81,1)+COUNTIF($G$8:G75,G75)-1, IF('AAA Summary'!$L$35=2, RANK(F75,F$8:F$81,1)+COUNTIF($F$8:F75,F75)-1, IF('AAA Summary'!$L$35=1, RANK(E75,E$8:E$81,1)+COUNTIF($E$8:E75,E75)-1))))</f>
        <v>69</v>
      </c>
      <c r="U75" s="34">
        <f>IF('AAA Summary'!$L$35=4, H75, IF('AAA Summary'!$L$35=3, G75, IF('AAA Summary'!$L$35=2, F75, IF('AAA Summary'!$L$35=1, E75))))</f>
        <v>1</v>
      </c>
      <c r="V75">
        <f t="shared" si="28"/>
        <v>1</v>
      </c>
      <c r="W75" s="11">
        <f t="shared" si="29"/>
        <v>100</v>
      </c>
      <c r="X75">
        <v>80.493570000000005</v>
      </c>
      <c r="Y75">
        <v>100</v>
      </c>
      <c r="Z75">
        <f t="shared" si="30"/>
        <v>19.506429999999995</v>
      </c>
      <c r="AA75">
        <f t="shared" si="31"/>
        <v>19.506429999999995</v>
      </c>
      <c r="AB75" t="s">
        <v>1022</v>
      </c>
      <c r="AC75">
        <v>127</v>
      </c>
      <c r="AD75">
        <v>48</v>
      </c>
      <c r="AE75">
        <v>247</v>
      </c>
      <c r="AF75">
        <f t="shared" si="32"/>
        <v>79</v>
      </c>
      <c r="AG75">
        <f t="shared" si="33"/>
        <v>120</v>
      </c>
      <c r="AH75" s="59">
        <v>0.28999999999999998</v>
      </c>
      <c r="AI75">
        <v>29.411769999999997</v>
      </c>
      <c r="AJ75">
        <v>10.313550000000001</v>
      </c>
      <c r="AK75">
        <v>55.958269999999999</v>
      </c>
      <c r="AL75">
        <f t="shared" si="34"/>
        <v>19.098219999999998</v>
      </c>
      <c r="AM75">
        <f t="shared" si="35"/>
        <v>26.546500000000002</v>
      </c>
      <c r="AN75">
        <v>52</v>
      </c>
    </row>
    <row r="76" spans="1:40" x14ac:dyDescent="0.25">
      <c r="A76" s="7" t="s">
        <v>115</v>
      </c>
      <c r="B76" s="95" t="s">
        <v>116</v>
      </c>
      <c r="C76" s="7">
        <v>51</v>
      </c>
      <c r="D76" s="7">
        <v>26</v>
      </c>
      <c r="E76" s="111">
        <v>1</v>
      </c>
      <c r="F76" s="111">
        <v>1</v>
      </c>
      <c r="G76" s="111">
        <v>1</v>
      </c>
      <c r="H76" s="111">
        <v>0.92156859999999996</v>
      </c>
      <c r="I76" s="62">
        <f t="shared" si="22"/>
        <v>25</v>
      </c>
      <c r="J76" s="111">
        <v>0.50980392156862742</v>
      </c>
      <c r="K76" s="111">
        <v>0.49019607843137253</v>
      </c>
      <c r="L76" s="7" t="s">
        <v>252</v>
      </c>
      <c r="M76" s="7" t="s">
        <v>244</v>
      </c>
      <c r="N76" s="61">
        <v>0.73644089999999995</v>
      </c>
      <c r="O76" t="str">
        <f t="shared" si="23"/>
        <v>RWP</v>
      </c>
      <c r="P76" s="26">
        <f t="shared" si="24"/>
        <v>4</v>
      </c>
      <c r="Q76" s="26">
        <f t="shared" si="25"/>
        <v>4</v>
      </c>
      <c r="R76" s="26">
        <f t="shared" si="26"/>
        <v>4</v>
      </c>
      <c r="S76" s="26">
        <f t="shared" si="27"/>
        <v>2</v>
      </c>
      <c r="T76" s="46">
        <f>IF('AAA Summary'!$L$35=4, RANK(H76,H$8:H$81,1)+COUNTIF($H$8:H76,H76)-1, IF('AAA Summary'!$L$35=3, RANK(G76,G$8:G$81,1)+COUNTIF($G$8:G76,G76)-1, IF('AAA Summary'!$L$35=2, RANK(F76,F$8:F$81,1)+COUNTIF($F$8:F76,F76)-1, IF('AAA Summary'!$L$35=1, RANK(E76,E$8:E$81,1)+COUNTIF($E$8:E76,E76)-1))))</f>
        <v>70</v>
      </c>
      <c r="U76" s="34">
        <f>IF('AAA Summary'!$L$35=4, H76, IF('AAA Summary'!$L$35=3, G76, IF('AAA Summary'!$L$35=2, F76, IF('AAA Summary'!$L$35=1, E76))))</f>
        <v>1</v>
      </c>
      <c r="V76">
        <f t="shared" si="28"/>
        <v>46</v>
      </c>
      <c r="W76" s="11">
        <f t="shared" si="29"/>
        <v>50.980392156862742</v>
      </c>
      <c r="X76">
        <v>36.595709999999997</v>
      </c>
      <c r="Y76">
        <v>65.247200000000007</v>
      </c>
      <c r="Z76">
        <f t="shared" si="30"/>
        <v>14.384682156862745</v>
      </c>
      <c r="AA76">
        <f t="shared" si="31"/>
        <v>28.65149000000001</v>
      </c>
      <c r="AB76" t="s">
        <v>1023</v>
      </c>
      <c r="AC76">
        <v>53</v>
      </c>
      <c r="AD76">
        <v>33</v>
      </c>
      <c r="AE76">
        <v>95</v>
      </c>
      <c r="AF76">
        <f t="shared" si="32"/>
        <v>20</v>
      </c>
      <c r="AG76">
        <f t="shared" si="33"/>
        <v>42</v>
      </c>
      <c r="AH76" s="59">
        <v>0.55000000000000004</v>
      </c>
      <c r="AI76">
        <v>54.901960000000003</v>
      </c>
      <c r="AJ76">
        <v>40.341880000000003</v>
      </c>
      <c r="AK76">
        <v>68.872500000000002</v>
      </c>
      <c r="AL76">
        <f t="shared" si="34"/>
        <v>14.560079999999999</v>
      </c>
      <c r="AM76">
        <f t="shared" si="35"/>
        <v>13.97054</v>
      </c>
      <c r="AN76">
        <v>5</v>
      </c>
    </row>
    <row r="77" spans="1:40" x14ac:dyDescent="0.25">
      <c r="A77" s="7" t="s">
        <v>25</v>
      </c>
      <c r="B77" s="95" t="s">
        <v>26</v>
      </c>
      <c r="C77" s="7">
        <v>49</v>
      </c>
      <c r="D77" s="7">
        <v>20</v>
      </c>
      <c r="E77" s="111">
        <v>0.85714290000000004</v>
      </c>
      <c r="F77" s="111">
        <v>1</v>
      </c>
      <c r="G77" s="111">
        <v>0.92307689999999998</v>
      </c>
      <c r="H77" s="111">
        <v>0.77551020000000004</v>
      </c>
      <c r="I77" s="62">
        <f t="shared" si="22"/>
        <v>29</v>
      </c>
      <c r="J77" s="111">
        <v>0.40816326530612246</v>
      </c>
      <c r="K77" s="111">
        <v>0.59183673469387754</v>
      </c>
      <c r="L77" s="7" t="s">
        <v>613</v>
      </c>
      <c r="M77" s="7" t="s">
        <v>239</v>
      </c>
      <c r="N77" s="61">
        <v>2.026567</v>
      </c>
      <c r="O77" t="str">
        <f t="shared" si="23"/>
        <v>RCB</v>
      </c>
      <c r="P77" s="26">
        <f t="shared" si="24"/>
        <v>2</v>
      </c>
      <c r="Q77" s="26">
        <f t="shared" si="25"/>
        <v>4</v>
      </c>
      <c r="R77" s="26">
        <f t="shared" si="26"/>
        <v>2</v>
      </c>
      <c r="S77" s="26">
        <f t="shared" si="27"/>
        <v>1</v>
      </c>
      <c r="T77" s="46">
        <f>IF('AAA Summary'!$L$35=4, RANK(H77,H$8:H$81,1)+COUNTIF($H$8:H77,H77)-1, IF('AAA Summary'!$L$35=3, RANK(G77,G$8:G$81,1)+COUNTIF($G$8:G77,G77)-1, IF('AAA Summary'!$L$35=2, RANK(F77,F$8:F$81,1)+COUNTIF($F$8:F77,F77)-1, IF('AAA Summary'!$L$35=1, RANK(E77,E$8:E$81,1)+COUNTIF($E$8:E77,E77)-1))))</f>
        <v>21</v>
      </c>
      <c r="U77" s="34">
        <f>IF('AAA Summary'!$L$35=4, H77, IF('AAA Summary'!$L$35=3, G77, IF('AAA Summary'!$L$35=2, F77, IF('AAA Summary'!$L$35=1, E77))))</f>
        <v>0.85714290000000004</v>
      </c>
      <c r="V77">
        <f t="shared" si="28"/>
        <v>55</v>
      </c>
      <c r="W77" s="11">
        <f t="shared" si="29"/>
        <v>40.816326530612244</v>
      </c>
      <c r="X77">
        <v>26.996700000000001</v>
      </c>
      <c r="Y77">
        <v>55.787059999999997</v>
      </c>
      <c r="Z77">
        <f t="shared" si="30"/>
        <v>13.819626530612243</v>
      </c>
      <c r="AA77">
        <f t="shared" si="31"/>
        <v>28.790359999999996</v>
      </c>
      <c r="AB77" t="s">
        <v>1024</v>
      </c>
      <c r="AC77">
        <v>113</v>
      </c>
      <c r="AD77">
        <v>68</v>
      </c>
      <c r="AE77">
        <v>177</v>
      </c>
      <c r="AF77">
        <f t="shared" si="32"/>
        <v>45</v>
      </c>
      <c r="AG77">
        <f t="shared" si="33"/>
        <v>64</v>
      </c>
      <c r="AH77" s="59">
        <v>0.21</v>
      </c>
      <c r="AI77">
        <v>21.428570000000001</v>
      </c>
      <c r="AJ77">
        <v>10.295959999999999</v>
      </c>
      <c r="AK77">
        <v>36.81156</v>
      </c>
      <c r="AL77">
        <f t="shared" si="34"/>
        <v>11.132610000000001</v>
      </c>
      <c r="AM77">
        <f t="shared" si="35"/>
        <v>15.382989999999999</v>
      </c>
      <c r="AN77">
        <v>45</v>
      </c>
    </row>
  </sheetData>
  <sortState ref="A8:V78">
    <sortCondition ref="B8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2" workbookViewId="0">
      <selection activeCell="C64" sqref="C64"/>
    </sheetView>
  </sheetViews>
  <sheetFormatPr defaultRowHeight="15" x14ac:dyDescent="0.25"/>
  <sheetData>
    <row r="1" spans="1:4" x14ac:dyDescent="0.25">
      <c r="A1" t="s">
        <v>297</v>
      </c>
      <c r="B1" t="s">
        <v>298</v>
      </c>
      <c r="C1" t="s">
        <v>300</v>
      </c>
      <c r="D1" t="s">
        <v>301</v>
      </c>
    </row>
    <row r="2" spans="1:4" x14ac:dyDescent="0.25">
      <c r="A2" t="s">
        <v>315</v>
      </c>
      <c r="B2" s="76">
        <v>0</v>
      </c>
      <c r="C2" s="76">
        <v>50</v>
      </c>
      <c r="D2" s="76">
        <v>1.4</v>
      </c>
    </row>
    <row r="3" spans="1:4" x14ac:dyDescent="0.25">
      <c r="A3" t="s">
        <v>315</v>
      </c>
      <c r="B3">
        <v>6</v>
      </c>
      <c r="C3">
        <v>43.930489999999999</v>
      </c>
      <c r="D3" s="76">
        <v>1.4</v>
      </c>
    </row>
    <row r="4" spans="1:4" x14ac:dyDescent="0.25">
      <c r="A4" t="s">
        <v>315</v>
      </c>
      <c r="B4">
        <v>12</v>
      </c>
      <c r="C4">
        <v>24.60735</v>
      </c>
      <c r="D4" s="76">
        <v>1.4</v>
      </c>
    </row>
    <row r="5" spans="1:4" x14ac:dyDescent="0.25">
      <c r="A5" t="s">
        <v>315</v>
      </c>
      <c r="B5">
        <v>16</v>
      </c>
      <c r="C5">
        <v>19.94773</v>
      </c>
      <c r="D5" s="76">
        <v>1.4</v>
      </c>
    </row>
    <row r="6" spans="1:4" x14ac:dyDescent="0.25">
      <c r="A6" t="s">
        <v>315</v>
      </c>
      <c r="B6">
        <v>22</v>
      </c>
      <c r="C6">
        <v>16.96087</v>
      </c>
      <c r="D6" s="76">
        <v>1.4</v>
      </c>
    </row>
    <row r="7" spans="1:4" x14ac:dyDescent="0.25">
      <c r="A7" t="s">
        <v>315</v>
      </c>
      <c r="B7">
        <v>28</v>
      </c>
      <c r="C7">
        <v>13.9994</v>
      </c>
      <c r="D7" s="76">
        <v>1.4</v>
      </c>
    </row>
    <row r="8" spans="1:4" x14ac:dyDescent="0.25">
      <c r="A8" t="s">
        <v>315</v>
      </c>
      <c r="B8">
        <v>30</v>
      </c>
      <c r="C8">
        <v>13.19049</v>
      </c>
      <c r="D8" s="76">
        <v>1.4</v>
      </c>
    </row>
    <row r="9" spans="1:4" x14ac:dyDescent="0.25">
      <c r="A9" t="s">
        <v>315</v>
      </c>
      <c r="B9">
        <v>33</v>
      </c>
      <c r="C9">
        <v>12.15875</v>
      </c>
      <c r="D9" s="76">
        <v>1.4</v>
      </c>
    </row>
    <row r="10" spans="1:4" x14ac:dyDescent="0.25">
      <c r="A10" t="s">
        <v>315</v>
      </c>
      <c r="B10">
        <v>34</v>
      </c>
      <c r="C10">
        <v>12.143319999999999</v>
      </c>
      <c r="D10" s="76">
        <v>1.4</v>
      </c>
    </row>
    <row r="11" spans="1:4" x14ac:dyDescent="0.25">
      <c r="A11" t="s">
        <v>315</v>
      </c>
      <c r="B11">
        <v>40</v>
      </c>
      <c r="C11">
        <v>11.447469999999999</v>
      </c>
      <c r="D11" s="76">
        <v>1.4</v>
      </c>
    </row>
    <row r="12" spans="1:4" x14ac:dyDescent="0.25">
      <c r="A12" t="s">
        <v>315</v>
      </c>
      <c r="B12">
        <v>47</v>
      </c>
      <c r="C12">
        <v>10.28224</v>
      </c>
      <c r="D12" s="76">
        <v>1.4</v>
      </c>
    </row>
    <row r="13" spans="1:4" x14ac:dyDescent="0.25">
      <c r="A13" t="s">
        <v>315</v>
      </c>
      <c r="B13">
        <v>49</v>
      </c>
      <c r="C13">
        <v>9.9583370000000002</v>
      </c>
      <c r="D13" s="76">
        <v>1.4</v>
      </c>
    </row>
    <row r="14" spans="1:4" x14ac:dyDescent="0.25">
      <c r="A14" t="s">
        <v>315</v>
      </c>
      <c r="B14">
        <v>50</v>
      </c>
      <c r="C14">
        <v>9.8006910000000005</v>
      </c>
      <c r="D14" s="76">
        <v>1.4</v>
      </c>
    </row>
    <row r="15" spans="1:4" x14ac:dyDescent="0.25">
      <c r="A15" t="s">
        <v>315</v>
      </c>
      <c r="B15">
        <v>51</v>
      </c>
      <c r="C15">
        <v>9.6462160000000008</v>
      </c>
      <c r="D15" s="76">
        <v>1.4</v>
      </c>
    </row>
    <row r="16" spans="1:4" x14ac:dyDescent="0.25">
      <c r="A16" t="s">
        <v>315</v>
      </c>
      <c r="B16">
        <v>52</v>
      </c>
      <c r="C16">
        <v>9.4950559999999999</v>
      </c>
      <c r="D16" s="76">
        <v>1.4</v>
      </c>
    </row>
    <row r="17" spans="1:4" x14ac:dyDescent="0.25">
      <c r="A17" t="s">
        <v>315</v>
      </c>
      <c r="B17">
        <v>54</v>
      </c>
      <c r="C17">
        <v>9.2029969999999999</v>
      </c>
      <c r="D17" s="76">
        <v>1.4</v>
      </c>
    </row>
    <row r="18" spans="1:4" x14ac:dyDescent="0.25">
      <c r="A18" t="s">
        <v>315</v>
      </c>
      <c r="B18">
        <v>56</v>
      </c>
      <c r="C18">
        <v>8.9247990000000001</v>
      </c>
      <c r="D18" s="76">
        <v>1.4</v>
      </c>
    </row>
    <row r="19" spans="1:4" x14ac:dyDescent="0.25">
      <c r="A19" t="s">
        <v>315</v>
      </c>
      <c r="B19">
        <v>65</v>
      </c>
      <c r="C19">
        <v>8.5489999999999995</v>
      </c>
      <c r="D19" s="76">
        <v>1.4</v>
      </c>
    </row>
    <row r="20" spans="1:4" x14ac:dyDescent="0.25">
      <c r="A20" t="s">
        <v>315</v>
      </c>
      <c r="B20">
        <v>68</v>
      </c>
      <c r="C20">
        <v>8.3383210000000005</v>
      </c>
      <c r="D20" s="76">
        <v>1.4</v>
      </c>
    </row>
    <row r="21" spans="1:4" x14ac:dyDescent="0.25">
      <c r="A21" t="s">
        <v>315</v>
      </c>
      <c r="B21">
        <v>73</v>
      </c>
      <c r="C21">
        <v>7.9615260000000001</v>
      </c>
      <c r="D21" s="76">
        <v>1.4</v>
      </c>
    </row>
    <row r="22" spans="1:4" x14ac:dyDescent="0.25">
      <c r="A22" t="s">
        <v>315</v>
      </c>
      <c r="B22">
        <v>76</v>
      </c>
      <c r="C22">
        <v>7.7331279999999998</v>
      </c>
      <c r="D22" s="76">
        <v>1.4</v>
      </c>
    </row>
    <row r="23" spans="1:4" x14ac:dyDescent="0.25">
      <c r="A23" t="s">
        <v>315</v>
      </c>
      <c r="B23">
        <v>81</v>
      </c>
      <c r="C23">
        <v>7.3623510000000003</v>
      </c>
      <c r="D23" s="76">
        <v>1.4</v>
      </c>
    </row>
    <row r="24" spans="1:4" x14ac:dyDescent="0.25">
      <c r="A24" t="s">
        <v>315</v>
      </c>
      <c r="B24">
        <v>90</v>
      </c>
      <c r="C24">
        <v>7.088533</v>
      </c>
      <c r="D24" s="76">
        <v>1.4</v>
      </c>
    </row>
    <row r="25" spans="1:4" x14ac:dyDescent="0.25">
      <c r="A25" t="s">
        <v>315</v>
      </c>
      <c r="B25">
        <v>93</v>
      </c>
      <c r="C25">
        <v>6.998621</v>
      </c>
      <c r="D25" s="76">
        <v>1.4</v>
      </c>
    </row>
    <row r="26" spans="1:4" x14ac:dyDescent="0.25">
      <c r="A26" t="s">
        <v>315</v>
      </c>
      <c r="B26">
        <v>96</v>
      </c>
      <c r="C26">
        <v>6.8915759999999997</v>
      </c>
      <c r="D26" s="76">
        <v>1.4</v>
      </c>
    </row>
    <row r="27" spans="1:4" x14ac:dyDescent="0.25">
      <c r="A27" t="s">
        <v>315</v>
      </c>
      <c r="B27">
        <v>97</v>
      </c>
      <c r="C27">
        <v>6.8532130000000002</v>
      </c>
      <c r="D27" s="76">
        <v>1.4</v>
      </c>
    </row>
    <row r="28" spans="1:4" x14ac:dyDescent="0.25">
      <c r="A28" t="s">
        <v>315</v>
      </c>
      <c r="B28">
        <v>99</v>
      </c>
      <c r="C28">
        <v>6.7735820000000002</v>
      </c>
      <c r="D28" s="76">
        <v>1.4</v>
      </c>
    </row>
    <row r="29" spans="1:4" x14ac:dyDescent="0.25">
      <c r="A29" t="s">
        <v>315</v>
      </c>
      <c r="B29">
        <v>101</v>
      </c>
      <c r="C29">
        <v>6.6910670000000003</v>
      </c>
      <c r="D29" s="76">
        <v>1.4</v>
      </c>
    </row>
    <row r="30" spans="1:4" x14ac:dyDescent="0.25">
      <c r="A30" t="s">
        <v>315</v>
      </c>
      <c r="B30">
        <v>103</v>
      </c>
      <c r="C30">
        <v>6.606649</v>
      </c>
      <c r="D30" s="76">
        <v>1.4</v>
      </c>
    </row>
    <row r="31" spans="1:4" x14ac:dyDescent="0.25">
      <c r="A31" t="s">
        <v>315</v>
      </c>
      <c r="B31">
        <v>108</v>
      </c>
      <c r="C31">
        <v>6.3920219999999999</v>
      </c>
      <c r="D31" s="76">
        <v>1.4</v>
      </c>
    </row>
    <row r="32" spans="1:4" x14ac:dyDescent="0.25">
      <c r="A32" t="s">
        <v>315</v>
      </c>
      <c r="B32">
        <v>110</v>
      </c>
      <c r="C32">
        <v>6.306133</v>
      </c>
      <c r="D32" s="76">
        <v>1.4</v>
      </c>
    </row>
    <row r="33" spans="1:4" x14ac:dyDescent="0.25">
      <c r="A33" t="s">
        <v>315</v>
      </c>
      <c r="B33">
        <v>111</v>
      </c>
      <c r="C33">
        <v>6.2633780000000003</v>
      </c>
      <c r="D33" s="76">
        <v>1.4</v>
      </c>
    </row>
    <row r="34" spans="1:4" x14ac:dyDescent="0.25">
      <c r="A34" t="s">
        <v>315</v>
      </c>
      <c r="B34">
        <v>112</v>
      </c>
      <c r="C34">
        <v>6.2208009999999998</v>
      </c>
      <c r="D34" s="76">
        <v>1.4</v>
      </c>
    </row>
    <row r="35" spans="1:4" x14ac:dyDescent="0.25">
      <c r="A35" t="s">
        <v>315</v>
      </c>
      <c r="B35">
        <v>118</v>
      </c>
      <c r="C35">
        <v>6.1067640000000001</v>
      </c>
      <c r="D35" s="76">
        <v>1.4</v>
      </c>
    </row>
    <row r="36" spans="1:4" x14ac:dyDescent="0.25">
      <c r="A36" t="s">
        <v>315</v>
      </c>
      <c r="B36">
        <v>122</v>
      </c>
      <c r="C36">
        <v>6.0560479999999997</v>
      </c>
      <c r="D36" s="76">
        <v>1.4</v>
      </c>
    </row>
    <row r="37" spans="1:4" x14ac:dyDescent="0.25">
      <c r="A37" t="s">
        <v>315</v>
      </c>
      <c r="B37">
        <v>124</v>
      </c>
      <c r="C37">
        <v>6.0210129999999999</v>
      </c>
      <c r="D37" s="76">
        <v>1.4</v>
      </c>
    </row>
    <row r="38" spans="1:4" x14ac:dyDescent="0.25">
      <c r="A38" t="s">
        <v>315</v>
      </c>
      <c r="B38">
        <v>125</v>
      </c>
      <c r="C38">
        <v>6.0016059999999998</v>
      </c>
      <c r="D38" s="76">
        <v>1.4</v>
      </c>
    </row>
    <row r="39" spans="1:4" x14ac:dyDescent="0.25">
      <c r="A39" t="s">
        <v>315</v>
      </c>
      <c r="B39">
        <v>126</v>
      </c>
      <c r="C39">
        <v>5.9811050000000003</v>
      </c>
      <c r="D39" s="76">
        <v>1.4</v>
      </c>
    </row>
    <row r="40" spans="1:4" x14ac:dyDescent="0.25">
      <c r="A40" t="s">
        <v>315</v>
      </c>
      <c r="B40">
        <v>127</v>
      </c>
      <c r="C40">
        <v>5.959625</v>
      </c>
      <c r="D40" s="76">
        <v>1.4</v>
      </c>
    </row>
    <row r="41" spans="1:4" x14ac:dyDescent="0.25">
      <c r="A41" t="s">
        <v>315</v>
      </c>
      <c r="B41">
        <v>129</v>
      </c>
      <c r="C41">
        <v>5.9141250000000003</v>
      </c>
      <c r="D41" s="76">
        <v>1.4</v>
      </c>
    </row>
    <row r="42" spans="1:4" x14ac:dyDescent="0.25">
      <c r="A42" t="s">
        <v>315</v>
      </c>
      <c r="B42">
        <v>139</v>
      </c>
      <c r="C42">
        <v>5.655437</v>
      </c>
      <c r="D42" s="76">
        <v>1.4</v>
      </c>
    </row>
    <row r="43" spans="1:4" x14ac:dyDescent="0.25">
      <c r="A43" t="s">
        <v>315</v>
      </c>
      <c r="B43">
        <v>140</v>
      </c>
      <c r="C43">
        <v>5.6280380000000001</v>
      </c>
      <c r="D43" s="76">
        <v>1.4</v>
      </c>
    </row>
    <row r="44" spans="1:4" x14ac:dyDescent="0.25">
      <c r="A44" t="s">
        <v>315</v>
      </c>
      <c r="B44">
        <v>141</v>
      </c>
      <c r="C44">
        <v>5.6005229999999999</v>
      </c>
      <c r="D44" s="76">
        <v>1.4</v>
      </c>
    </row>
    <row r="45" spans="1:4" x14ac:dyDescent="0.25">
      <c r="A45" t="s">
        <v>315</v>
      </c>
      <c r="B45">
        <v>143</v>
      </c>
      <c r="C45">
        <v>5.5452659999999998</v>
      </c>
      <c r="D45" s="76">
        <v>1.4</v>
      </c>
    </row>
    <row r="46" spans="1:4" x14ac:dyDescent="0.25">
      <c r="A46" t="s">
        <v>315</v>
      </c>
      <c r="B46">
        <v>147</v>
      </c>
      <c r="C46">
        <v>5.4345309999999998</v>
      </c>
      <c r="D46" s="76">
        <v>1.4</v>
      </c>
    </row>
    <row r="47" spans="1:4" x14ac:dyDescent="0.25">
      <c r="A47" t="s">
        <v>315</v>
      </c>
      <c r="B47">
        <v>150</v>
      </c>
      <c r="C47">
        <v>5.4089260000000001</v>
      </c>
      <c r="D47" s="76">
        <v>1.4</v>
      </c>
    </row>
    <row r="48" spans="1:4" x14ac:dyDescent="0.25">
      <c r="A48" t="s">
        <v>315</v>
      </c>
      <c r="B48">
        <v>154</v>
      </c>
      <c r="C48">
        <v>5.3859190000000003</v>
      </c>
      <c r="D48" s="76">
        <v>1.4</v>
      </c>
    </row>
    <row r="49" spans="1:4" x14ac:dyDescent="0.25">
      <c r="A49" t="s">
        <v>315</v>
      </c>
      <c r="B49">
        <v>155</v>
      </c>
      <c r="C49">
        <v>5.3771449999999996</v>
      </c>
      <c r="D49" s="76">
        <v>1.4</v>
      </c>
    </row>
    <row r="50" spans="1:4" x14ac:dyDescent="0.25">
      <c r="A50" t="s">
        <v>315</v>
      </c>
      <c r="B50">
        <v>160</v>
      </c>
      <c r="C50">
        <v>5.3194710000000001</v>
      </c>
      <c r="D50" s="76">
        <v>1.4</v>
      </c>
    </row>
    <row r="51" spans="1:4" x14ac:dyDescent="0.25">
      <c r="A51" t="s">
        <v>315</v>
      </c>
      <c r="B51">
        <v>166</v>
      </c>
      <c r="C51">
        <v>5.2284119999999996</v>
      </c>
      <c r="D51" s="76">
        <v>1.4</v>
      </c>
    </row>
    <row r="52" spans="1:4" x14ac:dyDescent="0.25">
      <c r="A52" t="s">
        <v>315</v>
      </c>
      <c r="B52">
        <v>175</v>
      </c>
      <c r="C52">
        <v>5.0672959999999998</v>
      </c>
      <c r="D52" s="76">
        <v>1.4</v>
      </c>
    </row>
    <row r="53" spans="1:4" x14ac:dyDescent="0.25">
      <c r="A53" t="s">
        <v>315</v>
      </c>
      <c r="B53">
        <v>176</v>
      </c>
      <c r="C53">
        <v>5.0483909999999996</v>
      </c>
      <c r="D53" s="76">
        <v>1.4</v>
      </c>
    </row>
    <row r="54" spans="1:4" x14ac:dyDescent="0.25">
      <c r="A54" t="s">
        <v>315</v>
      </c>
      <c r="B54">
        <v>188</v>
      </c>
      <c r="C54">
        <v>4.8938009999999998</v>
      </c>
      <c r="D54" s="76">
        <v>1.4</v>
      </c>
    </row>
    <row r="55" spans="1:4" x14ac:dyDescent="0.25">
      <c r="A55" t="s">
        <v>315</v>
      </c>
      <c r="B55">
        <v>193</v>
      </c>
      <c r="C55">
        <v>4.8645909999999999</v>
      </c>
      <c r="D55" s="76">
        <v>1.4</v>
      </c>
    </row>
    <row r="56" spans="1:4" x14ac:dyDescent="0.25">
      <c r="A56" t="s">
        <v>315</v>
      </c>
      <c r="B56">
        <v>196</v>
      </c>
      <c r="C56">
        <v>4.8394599999999999</v>
      </c>
      <c r="D56" s="76">
        <v>1.4</v>
      </c>
    </row>
    <row r="57" spans="1:4" x14ac:dyDescent="0.25">
      <c r="A57" t="s">
        <v>315</v>
      </c>
      <c r="B57">
        <v>199</v>
      </c>
      <c r="C57">
        <v>4.8099429999999996</v>
      </c>
      <c r="D57" s="76">
        <v>1.4</v>
      </c>
    </row>
    <row r="58" spans="1:4" x14ac:dyDescent="0.25">
      <c r="A58" t="s">
        <v>315</v>
      </c>
      <c r="B58">
        <v>210</v>
      </c>
      <c r="C58">
        <v>4.676634</v>
      </c>
      <c r="D58" s="76">
        <v>1.4</v>
      </c>
    </row>
    <row r="59" spans="1:4" x14ac:dyDescent="0.25">
      <c r="A59" t="s">
        <v>315</v>
      </c>
      <c r="B59">
        <v>212</v>
      </c>
      <c r="C59">
        <v>4.6496449999999996</v>
      </c>
      <c r="D59" s="76">
        <v>1.4</v>
      </c>
    </row>
    <row r="60" spans="1:4" x14ac:dyDescent="0.25">
      <c r="A60" t="s">
        <v>315</v>
      </c>
      <c r="B60">
        <v>214</v>
      </c>
      <c r="C60">
        <v>4.6221329999999998</v>
      </c>
      <c r="D60" s="76">
        <v>1.4</v>
      </c>
    </row>
    <row r="61" spans="1:4" x14ac:dyDescent="0.25">
      <c r="A61" t="s">
        <v>315</v>
      </c>
      <c r="B61">
        <v>222</v>
      </c>
      <c r="C61">
        <v>4.5187200000000001</v>
      </c>
      <c r="D61" s="76">
        <v>1.4</v>
      </c>
    </row>
    <row r="62" spans="1:4" x14ac:dyDescent="0.25">
      <c r="A62" t="s">
        <v>315</v>
      </c>
      <c r="B62">
        <v>227</v>
      </c>
      <c r="C62">
        <v>4.5091140000000003</v>
      </c>
      <c r="D62" s="76">
        <v>1.4</v>
      </c>
    </row>
    <row r="63" spans="1:4" x14ac:dyDescent="0.25">
      <c r="A63" t="s">
        <v>315</v>
      </c>
      <c r="B63">
        <v>277</v>
      </c>
      <c r="C63">
        <v>4.1671659999999999</v>
      </c>
      <c r="D63" s="76">
        <v>1.4</v>
      </c>
    </row>
    <row r="64" spans="1:4" x14ac:dyDescent="0.25">
      <c r="A64" t="s">
        <v>315</v>
      </c>
      <c r="B64">
        <v>281</v>
      </c>
      <c r="C64">
        <v>4.1422819999999998</v>
      </c>
      <c r="D64" s="76">
        <v>1.4</v>
      </c>
    </row>
    <row r="65" spans="1:4" x14ac:dyDescent="0.25">
      <c r="A65" t="s">
        <v>315</v>
      </c>
      <c r="B65">
        <v>300</v>
      </c>
      <c r="C65">
        <v>3.9930569999999999</v>
      </c>
      <c r="D65" s="76">
        <v>1.4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C3" sqref="C3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3" width="13.7109375" style="30" bestFit="1" customWidth="1"/>
  </cols>
  <sheetData>
    <row r="1" spans="1:3" x14ac:dyDescent="0.25">
      <c r="A1" t="s">
        <v>302</v>
      </c>
      <c r="B1" t="s">
        <v>317</v>
      </c>
      <c r="C1" s="30" t="s">
        <v>316</v>
      </c>
    </row>
    <row r="2" spans="1:3" x14ac:dyDescent="0.25">
      <c r="A2" s="7" t="s">
        <v>0</v>
      </c>
      <c r="B2">
        <v>127</v>
      </c>
      <c r="C2" s="30">
        <v>4.4191940000000001</v>
      </c>
    </row>
    <row r="3" spans="1:3" x14ac:dyDescent="0.25">
      <c r="A3" s="7" t="s">
        <v>2</v>
      </c>
      <c r="B3">
        <v>129</v>
      </c>
      <c r="C3" s="30">
        <v>4.7530359999999998</v>
      </c>
    </row>
    <row r="4" spans="1:3" x14ac:dyDescent="0.25">
      <c r="A4" s="7" t="s">
        <v>3</v>
      </c>
      <c r="B4">
        <v>50</v>
      </c>
      <c r="C4" s="30">
        <v>2.3157890000000001</v>
      </c>
    </row>
    <row r="5" spans="1:3" x14ac:dyDescent="0.25">
      <c r="A5" s="7" t="s">
        <v>6</v>
      </c>
      <c r="B5">
        <v>81</v>
      </c>
      <c r="C5" s="30">
        <v>2.640784</v>
      </c>
    </row>
    <row r="6" spans="1:3" x14ac:dyDescent="0.25">
      <c r="A6" s="7" t="s">
        <v>8</v>
      </c>
      <c r="B6">
        <v>212</v>
      </c>
      <c r="C6" s="30">
        <v>0</v>
      </c>
    </row>
    <row r="7" spans="1:3" x14ac:dyDescent="0.25">
      <c r="A7" s="7" t="s">
        <v>498</v>
      </c>
      <c r="B7">
        <v>140</v>
      </c>
      <c r="C7" s="30">
        <v>1.3910690000000001</v>
      </c>
    </row>
    <row r="8" spans="1:3" x14ac:dyDescent="0.25">
      <c r="A8" s="7" t="s">
        <v>501</v>
      </c>
      <c r="B8">
        <v>176</v>
      </c>
      <c r="C8" s="30">
        <v>0.59011040000000003</v>
      </c>
    </row>
    <row r="9" spans="1:3" x14ac:dyDescent="0.25">
      <c r="A9" s="7" t="s">
        <v>10</v>
      </c>
      <c r="B9">
        <v>51</v>
      </c>
      <c r="C9" s="30">
        <v>0</v>
      </c>
    </row>
    <row r="10" spans="1:3" x14ac:dyDescent="0.25">
      <c r="A10" s="7" t="s">
        <v>12</v>
      </c>
      <c r="B10">
        <v>33</v>
      </c>
      <c r="C10" s="30">
        <v>0</v>
      </c>
    </row>
    <row r="11" spans="1:3" x14ac:dyDescent="0.25">
      <c r="A11" s="7" t="s">
        <v>13</v>
      </c>
      <c r="B11">
        <v>28</v>
      </c>
      <c r="C11" s="30">
        <v>0</v>
      </c>
    </row>
    <row r="12" spans="1:3" x14ac:dyDescent="0.25">
      <c r="A12" s="7" t="s">
        <v>15</v>
      </c>
      <c r="B12">
        <v>68</v>
      </c>
      <c r="C12" s="30">
        <v>0</v>
      </c>
    </row>
    <row r="13" spans="1:3" x14ac:dyDescent="0.25">
      <c r="A13" s="7" t="s">
        <v>17</v>
      </c>
      <c r="B13">
        <v>193</v>
      </c>
      <c r="C13" s="30">
        <v>0.54935750000000005</v>
      </c>
    </row>
    <row r="14" spans="1:3" x14ac:dyDescent="0.25">
      <c r="A14" s="7" t="s">
        <v>19</v>
      </c>
      <c r="B14">
        <v>99</v>
      </c>
      <c r="C14" s="30">
        <v>1.0550889999999999</v>
      </c>
    </row>
    <row r="15" spans="1:3" x14ac:dyDescent="0.25">
      <c r="A15" s="7" t="s">
        <v>505</v>
      </c>
      <c r="B15">
        <v>16</v>
      </c>
      <c r="C15" s="30">
        <v>0</v>
      </c>
    </row>
    <row r="16" spans="1:3" x14ac:dyDescent="0.25">
      <c r="A16" s="7" t="s">
        <v>610</v>
      </c>
      <c r="B16">
        <v>147</v>
      </c>
      <c r="C16" s="30">
        <v>2.6406369999999999</v>
      </c>
    </row>
    <row r="17" spans="1:3" x14ac:dyDescent="0.25">
      <c r="A17" s="7" t="s">
        <v>25</v>
      </c>
      <c r="B17">
        <v>141</v>
      </c>
      <c r="C17" s="30">
        <v>2.026567</v>
      </c>
    </row>
    <row r="18" spans="1:3" x14ac:dyDescent="0.25">
      <c r="A18" s="7" t="s">
        <v>29</v>
      </c>
      <c r="B18">
        <v>155</v>
      </c>
      <c r="C18" s="30">
        <v>2.0550459999999999</v>
      </c>
    </row>
    <row r="19" spans="1:3" x14ac:dyDescent="0.25">
      <c r="A19" s="7" t="s">
        <v>30</v>
      </c>
      <c r="B19">
        <v>125</v>
      </c>
      <c r="C19" s="30">
        <v>1.8402559999999999</v>
      </c>
    </row>
    <row r="20" spans="1:3" x14ac:dyDescent="0.25">
      <c r="A20" s="7" t="s">
        <v>32</v>
      </c>
      <c r="B20">
        <v>47</v>
      </c>
      <c r="C20" s="30">
        <v>0</v>
      </c>
    </row>
    <row r="21" spans="1:3" x14ac:dyDescent="0.25">
      <c r="A21" s="7" t="s">
        <v>34</v>
      </c>
      <c r="B21">
        <v>175</v>
      </c>
      <c r="C21" s="30">
        <v>1.1079289999999999</v>
      </c>
    </row>
    <row r="22" spans="1:3" x14ac:dyDescent="0.25">
      <c r="A22" s="7" t="s">
        <v>35</v>
      </c>
      <c r="B22">
        <v>56</v>
      </c>
      <c r="C22" s="30">
        <v>5.1199409999999999</v>
      </c>
    </row>
    <row r="23" spans="1:3" x14ac:dyDescent="0.25">
      <c r="A23" s="7" t="s">
        <v>40</v>
      </c>
      <c r="B23">
        <v>222</v>
      </c>
      <c r="C23" s="30">
        <v>0</v>
      </c>
    </row>
    <row r="24" spans="1:3" x14ac:dyDescent="0.25">
      <c r="A24" s="7" t="s">
        <v>513</v>
      </c>
      <c r="B24">
        <v>160</v>
      </c>
      <c r="C24" s="30">
        <v>1.2638879999999999</v>
      </c>
    </row>
    <row r="25" spans="1:3" x14ac:dyDescent="0.25">
      <c r="A25" s="7" t="s">
        <v>42</v>
      </c>
      <c r="B25">
        <v>93</v>
      </c>
      <c r="C25" s="30">
        <v>3.6351059999999999</v>
      </c>
    </row>
    <row r="26" spans="1:3" x14ac:dyDescent="0.25">
      <c r="A26" s="7" t="s">
        <v>44</v>
      </c>
      <c r="B26">
        <v>222</v>
      </c>
      <c r="C26" s="30">
        <v>0.92936470000000004</v>
      </c>
    </row>
    <row r="27" spans="1:3" x14ac:dyDescent="0.25">
      <c r="A27" s="7" t="s">
        <v>46</v>
      </c>
      <c r="B27">
        <v>124</v>
      </c>
      <c r="C27" s="30">
        <v>2.166204</v>
      </c>
    </row>
    <row r="28" spans="1:3" x14ac:dyDescent="0.25">
      <c r="A28" s="7" t="s">
        <v>50</v>
      </c>
      <c r="B28">
        <v>214</v>
      </c>
      <c r="C28" s="30">
        <v>0.48343849999999999</v>
      </c>
    </row>
    <row r="29" spans="1:3" x14ac:dyDescent="0.25">
      <c r="A29" s="7" t="s">
        <v>52</v>
      </c>
      <c r="B29">
        <v>143</v>
      </c>
      <c r="C29" s="30">
        <v>0</v>
      </c>
    </row>
    <row r="30" spans="1:3" x14ac:dyDescent="0.25">
      <c r="A30" s="7" t="s">
        <v>54</v>
      </c>
      <c r="B30">
        <v>277</v>
      </c>
      <c r="C30" s="30">
        <v>2.3698299999999999</v>
      </c>
    </row>
    <row r="31" spans="1:3" x14ac:dyDescent="0.25">
      <c r="A31" s="7" t="s">
        <v>56</v>
      </c>
      <c r="B31">
        <v>166</v>
      </c>
      <c r="C31" s="30">
        <v>2.3570229999999999</v>
      </c>
    </row>
    <row r="32" spans="1:3" x14ac:dyDescent="0.25">
      <c r="A32" s="7" t="s">
        <v>58</v>
      </c>
      <c r="B32">
        <v>6</v>
      </c>
      <c r="C32" s="30">
        <v>0</v>
      </c>
    </row>
    <row r="33" spans="1:3" x14ac:dyDescent="0.25">
      <c r="A33" s="7" t="s">
        <v>60</v>
      </c>
      <c r="B33">
        <v>96</v>
      </c>
      <c r="C33" s="30">
        <v>0.95330250000000005</v>
      </c>
    </row>
    <row r="34" spans="1:3" x14ac:dyDescent="0.25">
      <c r="A34" s="7" t="s">
        <v>61</v>
      </c>
      <c r="B34">
        <v>141</v>
      </c>
      <c r="C34" s="30">
        <v>0.75126139999999997</v>
      </c>
    </row>
    <row r="35" spans="1:3" x14ac:dyDescent="0.25">
      <c r="A35" s="7" t="s">
        <v>65</v>
      </c>
      <c r="B35">
        <v>199</v>
      </c>
      <c r="C35" s="30">
        <v>0.96944390000000003</v>
      </c>
    </row>
    <row r="36" spans="1:3" x14ac:dyDescent="0.25">
      <c r="A36" s="7" t="s">
        <v>622</v>
      </c>
      <c r="B36">
        <v>154</v>
      </c>
      <c r="C36" s="30">
        <v>1.229759</v>
      </c>
    </row>
    <row r="37" spans="1:3" x14ac:dyDescent="0.25">
      <c r="A37" s="7" t="s">
        <v>69</v>
      </c>
      <c r="B37">
        <v>122</v>
      </c>
      <c r="C37" s="30">
        <v>0</v>
      </c>
    </row>
    <row r="38" spans="1:3" x14ac:dyDescent="0.25">
      <c r="A38" s="7" t="s">
        <v>626</v>
      </c>
      <c r="B38">
        <v>65</v>
      </c>
      <c r="C38" s="30">
        <v>1.5082450000000001</v>
      </c>
    </row>
    <row r="39" spans="1:3" x14ac:dyDescent="0.25">
      <c r="A39" s="7" t="s">
        <v>72</v>
      </c>
      <c r="B39">
        <v>101</v>
      </c>
      <c r="C39" s="30">
        <v>1.94313</v>
      </c>
    </row>
    <row r="40" spans="1:3" x14ac:dyDescent="0.25">
      <c r="A40" s="7" t="s">
        <v>74</v>
      </c>
      <c r="B40">
        <v>76</v>
      </c>
      <c r="C40" s="30">
        <v>0</v>
      </c>
    </row>
    <row r="41" spans="1:3" x14ac:dyDescent="0.25">
      <c r="A41" s="7" t="s">
        <v>79</v>
      </c>
      <c r="B41">
        <v>34</v>
      </c>
      <c r="C41" s="30">
        <v>0</v>
      </c>
    </row>
    <row r="42" spans="1:3" x14ac:dyDescent="0.25">
      <c r="A42" s="7" t="s">
        <v>83</v>
      </c>
      <c r="B42">
        <v>97</v>
      </c>
      <c r="C42" s="30">
        <v>0.95209410000000005</v>
      </c>
    </row>
    <row r="43" spans="1:3" x14ac:dyDescent="0.25">
      <c r="A43" s="7" t="s">
        <v>85</v>
      </c>
      <c r="B43">
        <v>150</v>
      </c>
      <c r="C43" s="30">
        <v>2.8768060000000002</v>
      </c>
    </row>
    <row r="44" spans="1:3" x14ac:dyDescent="0.25">
      <c r="A44" s="7" t="s">
        <v>89</v>
      </c>
      <c r="B44">
        <v>16</v>
      </c>
      <c r="C44" s="30">
        <v>0</v>
      </c>
    </row>
    <row r="45" spans="1:3" x14ac:dyDescent="0.25">
      <c r="A45" s="7" t="s">
        <v>91</v>
      </c>
      <c r="B45">
        <v>210</v>
      </c>
      <c r="C45" s="30">
        <v>3.0630459999999999</v>
      </c>
    </row>
    <row r="46" spans="1:3" x14ac:dyDescent="0.25">
      <c r="A46" s="7" t="s">
        <v>93</v>
      </c>
      <c r="B46">
        <v>166</v>
      </c>
      <c r="C46" s="30">
        <v>1.8674489999999999</v>
      </c>
    </row>
    <row r="47" spans="1:3" x14ac:dyDescent="0.25">
      <c r="A47" s="7" t="s">
        <v>95</v>
      </c>
      <c r="B47">
        <v>126</v>
      </c>
      <c r="C47" s="30">
        <v>1.8763479999999999</v>
      </c>
    </row>
    <row r="48" spans="1:3" x14ac:dyDescent="0.25">
      <c r="A48" s="7" t="s">
        <v>96</v>
      </c>
      <c r="B48">
        <v>196</v>
      </c>
      <c r="C48" s="30">
        <v>0</v>
      </c>
    </row>
    <row r="49" spans="1:3" x14ac:dyDescent="0.25">
      <c r="A49" s="7" t="s">
        <v>98</v>
      </c>
      <c r="B49">
        <v>111</v>
      </c>
      <c r="C49" s="30">
        <v>0.84934290000000001</v>
      </c>
    </row>
    <row r="50" spans="1:3" x14ac:dyDescent="0.25">
      <c r="A50" s="7" t="s">
        <v>100</v>
      </c>
      <c r="B50">
        <v>124</v>
      </c>
      <c r="C50" s="30">
        <v>1.637424</v>
      </c>
    </row>
    <row r="51" spans="1:3" x14ac:dyDescent="0.25">
      <c r="A51" s="7" t="s">
        <v>102</v>
      </c>
      <c r="B51">
        <v>125</v>
      </c>
      <c r="C51" s="30">
        <v>0</v>
      </c>
    </row>
    <row r="52" spans="1:3" x14ac:dyDescent="0.25">
      <c r="A52" s="7" t="s">
        <v>106</v>
      </c>
      <c r="B52">
        <v>110</v>
      </c>
      <c r="C52" s="30">
        <v>0.89303169999999998</v>
      </c>
    </row>
    <row r="53" spans="1:3" x14ac:dyDescent="0.25">
      <c r="A53" s="7" t="s">
        <v>107</v>
      </c>
      <c r="B53">
        <v>108</v>
      </c>
      <c r="C53" s="30">
        <v>0.99505089999999996</v>
      </c>
    </row>
    <row r="54" spans="1:3" x14ac:dyDescent="0.25">
      <c r="A54" s="7" t="s">
        <v>109</v>
      </c>
      <c r="B54">
        <v>139</v>
      </c>
      <c r="C54" s="30">
        <v>1.836525</v>
      </c>
    </row>
    <row r="55" spans="1:3" x14ac:dyDescent="0.25">
      <c r="A55" s="7" t="s">
        <v>111</v>
      </c>
      <c r="B55">
        <v>73</v>
      </c>
      <c r="C55" s="30">
        <v>2.7558579999999999</v>
      </c>
    </row>
    <row r="56" spans="1:3" x14ac:dyDescent="0.25">
      <c r="A56" s="7" t="s">
        <v>113</v>
      </c>
      <c r="B56">
        <v>52</v>
      </c>
      <c r="C56" s="30">
        <v>0</v>
      </c>
    </row>
    <row r="57" spans="1:3" x14ac:dyDescent="0.25">
      <c r="A57" s="7" t="s">
        <v>115</v>
      </c>
      <c r="B57">
        <v>176</v>
      </c>
      <c r="C57" s="30">
        <v>0.73644089999999995</v>
      </c>
    </row>
    <row r="58" spans="1:3" x14ac:dyDescent="0.25">
      <c r="A58" s="7" t="s">
        <v>119</v>
      </c>
      <c r="B58">
        <v>127</v>
      </c>
      <c r="C58" s="30">
        <v>2.5639820000000002</v>
      </c>
    </row>
    <row r="59" spans="1:3" x14ac:dyDescent="0.25">
      <c r="A59" s="7" t="s">
        <v>123</v>
      </c>
      <c r="B59">
        <v>227</v>
      </c>
      <c r="C59" s="30">
        <v>1.2632669999999999</v>
      </c>
    </row>
    <row r="60" spans="1:3" x14ac:dyDescent="0.25">
      <c r="A60" s="7" t="s">
        <v>125</v>
      </c>
      <c r="B60">
        <v>76</v>
      </c>
      <c r="C60" s="30">
        <v>3.9688439999999998</v>
      </c>
    </row>
    <row r="61" spans="1:3" x14ac:dyDescent="0.25">
      <c r="A61" s="7" t="s">
        <v>127</v>
      </c>
      <c r="B61">
        <v>90</v>
      </c>
      <c r="C61" s="30">
        <v>0</v>
      </c>
    </row>
    <row r="62" spans="1:3" x14ac:dyDescent="0.25">
      <c r="A62" s="7" t="s">
        <v>129</v>
      </c>
      <c r="B62">
        <v>108</v>
      </c>
      <c r="C62" s="30">
        <v>0</v>
      </c>
    </row>
    <row r="63" spans="1:3" x14ac:dyDescent="0.25">
      <c r="A63" s="7" t="s">
        <v>525</v>
      </c>
      <c r="B63">
        <v>188</v>
      </c>
      <c r="C63" s="30">
        <v>0</v>
      </c>
    </row>
    <row r="64" spans="1:3" x14ac:dyDescent="0.25">
      <c r="A64" s="7" t="s">
        <v>131</v>
      </c>
      <c r="B64">
        <v>12</v>
      </c>
      <c r="C64" s="30">
        <v>0</v>
      </c>
    </row>
    <row r="65" spans="1:3" x14ac:dyDescent="0.25">
      <c r="A65" s="7" t="s">
        <v>133</v>
      </c>
      <c r="B65">
        <v>118</v>
      </c>
      <c r="C65" s="30">
        <v>0.89534689999999995</v>
      </c>
    </row>
    <row r="66" spans="1:3" x14ac:dyDescent="0.25">
      <c r="A66" s="7" t="s">
        <v>135</v>
      </c>
      <c r="B66">
        <v>52</v>
      </c>
      <c r="C66" s="30">
        <v>1.7933619999999999</v>
      </c>
    </row>
    <row r="67" spans="1:3" x14ac:dyDescent="0.25">
      <c r="A67" s="7" t="s">
        <v>137</v>
      </c>
      <c r="B67">
        <v>112</v>
      </c>
      <c r="C67" s="30">
        <v>2.738289</v>
      </c>
    </row>
    <row r="68" spans="1:3" x14ac:dyDescent="0.25">
      <c r="A68" s="7" t="s">
        <v>139</v>
      </c>
      <c r="B68">
        <v>54</v>
      </c>
      <c r="C68" s="30">
        <v>1.60172</v>
      </c>
    </row>
    <row r="69" spans="1:3" x14ac:dyDescent="0.25">
      <c r="A69" s="7" t="s">
        <v>141</v>
      </c>
      <c r="B69">
        <v>103</v>
      </c>
      <c r="C69" s="30">
        <v>1.0804560000000001</v>
      </c>
    </row>
    <row r="70" spans="1:3" x14ac:dyDescent="0.25">
      <c r="A70" s="7" t="s">
        <v>143</v>
      </c>
      <c r="B70">
        <v>40</v>
      </c>
      <c r="C70" s="30">
        <v>0</v>
      </c>
    </row>
    <row r="71" spans="1:3" x14ac:dyDescent="0.25">
      <c r="A71" s="7" t="s">
        <v>147</v>
      </c>
      <c r="B71">
        <v>281</v>
      </c>
      <c r="C71" s="30">
        <v>0.33602720000000003</v>
      </c>
    </row>
  </sheetData>
  <sortState ref="A2:C71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5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5.140625" bestFit="1" customWidth="1"/>
    <col min="4" max="4" width="21.5703125" customWidth="1"/>
    <col min="5" max="5" width="13.140625" customWidth="1"/>
    <col min="6" max="6" width="17.28515625" customWidth="1"/>
    <col min="7" max="7" width="13.85546875" customWidth="1"/>
    <col min="8" max="8" width="11.42578125" customWidth="1"/>
    <col min="9" max="9" width="15.28515625" customWidth="1"/>
    <col min="10" max="10" width="13.42578125" customWidth="1"/>
    <col min="11" max="11" width="12.140625" customWidth="1"/>
    <col min="12" max="12" width="14.7109375" customWidth="1"/>
    <col min="13" max="13" width="15.28515625" customWidth="1"/>
    <col min="15" max="26" width="9.140625" style="188"/>
    <col min="27" max="27" width="13.42578125" style="188" bestFit="1" customWidth="1"/>
    <col min="28" max="28" width="12.7109375" style="188" bestFit="1" customWidth="1"/>
    <col min="29" max="29" width="13.85546875" style="188" bestFit="1" customWidth="1"/>
    <col min="30" max="30" width="12.28515625" style="188" bestFit="1" customWidth="1"/>
    <col min="31" max="50" width="9.140625" style="188"/>
    <col min="51" max="51" width="9.140625" style="26"/>
  </cols>
  <sheetData>
    <row r="1" spans="1:41" ht="31.5" customHeight="1" x14ac:dyDescent="0.25">
      <c r="A1" s="14" t="s">
        <v>286</v>
      </c>
      <c r="B1" s="15" t="s">
        <v>7</v>
      </c>
      <c r="D1" s="28" t="s">
        <v>312</v>
      </c>
      <c r="E1" s="214" t="s">
        <v>707</v>
      </c>
      <c r="F1" s="214"/>
      <c r="G1" s="214"/>
      <c r="AA1" s="189" t="s">
        <v>858</v>
      </c>
      <c r="AB1" s="198" t="s">
        <v>586</v>
      </c>
      <c r="AC1" s="198" t="s">
        <v>587</v>
      </c>
      <c r="AD1" s="199" t="s">
        <v>588</v>
      </c>
      <c r="AF1" s="200" t="s">
        <v>149</v>
      </c>
      <c r="AG1" s="200" t="s">
        <v>566</v>
      </c>
      <c r="AH1" s="201" t="s">
        <v>708</v>
      </c>
      <c r="AI1" s="201" t="s">
        <v>709</v>
      </c>
      <c r="AJ1" s="201" t="s">
        <v>710</v>
      </c>
      <c r="AK1" s="201" t="s">
        <v>711</v>
      </c>
      <c r="AL1" s="193" t="s">
        <v>592</v>
      </c>
      <c r="AM1" s="193" t="s">
        <v>593</v>
      </c>
      <c r="AN1" s="193" t="s">
        <v>594</v>
      </c>
      <c r="AO1" s="193" t="s">
        <v>596</v>
      </c>
    </row>
    <row r="2" spans="1:41" x14ac:dyDescent="0.25">
      <c r="AA2" s="188">
        <f>VLOOKUP($B$1,'LL Revasc Data'!$B:$AB,21,FALSE)</f>
        <v>61.000001430511475</v>
      </c>
      <c r="AB2" s="188">
        <f>VLOOKUP($B$1,'LL Revasc Data'!$B:$AB,23,FALSE)</f>
        <v>15.000000596046448</v>
      </c>
      <c r="AC2" s="188">
        <f>VLOOKUP($B$1,'LL Revasc Data'!$B:$AB,22,FALSE)</f>
        <v>13.999998569488525</v>
      </c>
      <c r="AD2" s="188">
        <f>VLOOKUP($B$1,'LL Revasc Data'!$B:$AB,10,FALSE)</f>
        <v>24</v>
      </c>
      <c r="AF2" s="188" t="s">
        <v>356</v>
      </c>
      <c r="AG2" s="188" t="s">
        <v>106</v>
      </c>
      <c r="AH2" s="202">
        <v>125</v>
      </c>
      <c r="AI2" s="202">
        <v>7</v>
      </c>
      <c r="AJ2" s="202">
        <v>386</v>
      </c>
      <c r="AK2" s="203">
        <v>518</v>
      </c>
      <c r="AL2" s="188">
        <v>0.2413127413127413</v>
      </c>
      <c r="AM2" s="188">
        <v>1.3513513513513514E-2</v>
      </c>
      <c r="AN2" s="188">
        <v>0.74517374517374513</v>
      </c>
      <c r="AO2" s="188">
        <v>1</v>
      </c>
    </row>
    <row r="3" spans="1:41" x14ac:dyDescent="0.25">
      <c r="P3" s="188">
        <f>MATCH(E1,'LL Revasc Data'!$D$1:$E$1,0)</f>
        <v>2</v>
      </c>
      <c r="AF3" s="188" t="s">
        <v>51</v>
      </c>
      <c r="AG3" s="188" t="s">
        <v>50</v>
      </c>
      <c r="AH3" s="204">
        <v>75</v>
      </c>
      <c r="AI3" s="204">
        <v>88</v>
      </c>
      <c r="AJ3" s="204">
        <v>345</v>
      </c>
      <c r="AK3" s="205">
        <v>508</v>
      </c>
      <c r="AL3" s="188">
        <v>0.14763779527559054</v>
      </c>
      <c r="AM3" s="188">
        <v>0.17322834645669291</v>
      </c>
      <c r="AN3" s="188">
        <v>0.67913385826771655</v>
      </c>
      <c r="AO3" s="188">
        <v>2</v>
      </c>
    </row>
    <row r="4" spans="1:41" x14ac:dyDescent="0.25">
      <c r="AF4" s="188" t="s">
        <v>86</v>
      </c>
      <c r="AG4" s="188" t="s">
        <v>85</v>
      </c>
      <c r="AH4" s="204">
        <v>99</v>
      </c>
      <c r="AI4" s="204">
        <v>53</v>
      </c>
      <c r="AJ4" s="204">
        <v>316</v>
      </c>
      <c r="AK4" s="205">
        <v>468</v>
      </c>
      <c r="AL4" s="188">
        <v>0.21153846153846154</v>
      </c>
      <c r="AM4" s="188">
        <v>0.11324786324786325</v>
      </c>
      <c r="AN4" s="188">
        <v>0.67521367521367526</v>
      </c>
      <c r="AO4" s="188">
        <v>3</v>
      </c>
    </row>
    <row r="5" spans="1:41" x14ac:dyDescent="0.25">
      <c r="AA5" s="193" t="s">
        <v>597</v>
      </c>
      <c r="AB5" s="193" t="s">
        <v>861</v>
      </c>
      <c r="AC5" s="193" t="s">
        <v>862</v>
      </c>
      <c r="AD5" s="193" t="s">
        <v>863</v>
      </c>
      <c r="AF5" s="188" t="s">
        <v>26</v>
      </c>
      <c r="AG5" s="188" t="s">
        <v>25</v>
      </c>
      <c r="AH5" s="206">
        <v>127</v>
      </c>
      <c r="AI5" s="206">
        <v>8</v>
      </c>
      <c r="AJ5" s="206">
        <v>294</v>
      </c>
      <c r="AK5" s="205">
        <v>429</v>
      </c>
      <c r="AL5" s="188">
        <v>0.29603729603729606</v>
      </c>
      <c r="AM5" s="188">
        <v>1.8648018648018648E-2</v>
      </c>
      <c r="AN5" s="188">
        <v>0.68531468531468531</v>
      </c>
      <c r="AO5" s="188">
        <v>4</v>
      </c>
    </row>
    <row r="6" spans="1:41" x14ac:dyDescent="0.25">
      <c r="AA6" s="188">
        <f>VLOOKUP($B$1,$AF:$AO,10,FALSE)</f>
        <v>36</v>
      </c>
      <c r="AB6" s="188">
        <f>VLOOKUP($B$1,$AF:$AO,3,FALSE)</f>
        <v>75</v>
      </c>
      <c r="AC6" s="188">
        <f>VLOOKUP($B$1,$AF:$AO,4,FALSE)</f>
        <v>13</v>
      </c>
      <c r="AD6" s="188">
        <f>VLOOKUP($B$1,$AF:$AO,5,FALSE)</f>
        <v>63</v>
      </c>
      <c r="AF6" s="188" t="s">
        <v>92</v>
      </c>
      <c r="AG6" s="188" t="s">
        <v>91</v>
      </c>
      <c r="AH6" s="204">
        <v>121</v>
      </c>
      <c r="AI6" s="204">
        <v>60</v>
      </c>
      <c r="AJ6" s="204">
        <v>221</v>
      </c>
      <c r="AK6" s="205">
        <v>402</v>
      </c>
      <c r="AL6" s="188">
        <v>0.30099502487562191</v>
      </c>
      <c r="AM6" s="188">
        <v>0.14925373134328357</v>
      </c>
      <c r="AN6" s="188">
        <v>0.54975124378109452</v>
      </c>
      <c r="AO6" s="188">
        <v>5</v>
      </c>
    </row>
    <row r="7" spans="1:41" x14ac:dyDescent="0.25">
      <c r="AF7" s="188" t="s">
        <v>124</v>
      </c>
      <c r="AG7" s="188" t="s">
        <v>123</v>
      </c>
      <c r="AH7" s="204">
        <v>89</v>
      </c>
      <c r="AI7" s="204">
        <v>71</v>
      </c>
      <c r="AJ7" s="204">
        <v>221</v>
      </c>
      <c r="AK7" s="205">
        <v>381</v>
      </c>
      <c r="AL7" s="188">
        <v>0.23359580052493439</v>
      </c>
      <c r="AM7" s="188">
        <v>0.18635170603674542</v>
      </c>
      <c r="AN7" s="188">
        <v>0.58005249343832022</v>
      </c>
      <c r="AO7" s="188">
        <v>6</v>
      </c>
    </row>
    <row r="8" spans="1:41" x14ac:dyDescent="0.25">
      <c r="AF8" s="188" t="s">
        <v>285</v>
      </c>
      <c r="AG8" s="188" t="s">
        <v>95</v>
      </c>
      <c r="AH8" s="204">
        <v>61</v>
      </c>
      <c r="AI8" s="204">
        <v>31</v>
      </c>
      <c r="AJ8" s="204">
        <v>276</v>
      </c>
      <c r="AK8" s="205">
        <v>368</v>
      </c>
      <c r="AL8" s="188">
        <v>0.16576086956521738</v>
      </c>
      <c r="AM8" s="188">
        <v>8.4239130434782608E-2</v>
      </c>
      <c r="AN8" s="188">
        <v>0.75</v>
      </c>
      <c r="AO8" s="188">
        <v>7</v>
      </c>
    </row>
    <row r="9" spans="1:41" x14ac:dyDescent="0.25">
      <c r="AF9" s="188" t="s">
        <v>126</v>
      </c>
      <c r="AG9" s="188" t="s">
        <v>125</v>
      </c>
      <c r="AH9" s="204">
        <v>84</v>
      </c>
      <c r="AI9" s="204">
        <v>63</v>
      </c>
      <c r="AJ9" s="204">
        <v>219</v>
      </c>
      <c r="AK9" s="205">
        <v>366</v>
      </c>
      <c r="AL9" s="188">
        <v>0.22950819672131148</v>
      </c>
      <c r="AM9" s="188">
        <v>0.1721311475409836</v>
      </c>
      <c r="AN9" s="188">
        <v>0.59836065573770492</v>
      </c>
      <c r="AO9" s="188">
        <v>8</v>
      </c>
    </row>
    <row r="10" spans="1:41" x14ac:dyDescent="0.25">
      <c r="AF10" s="188" t="s">
        <v>110</v>
      </c>
      <c r="AG10" s="188" t="s">
        <v>109</v>
      </c>
      <c r="AH10" s="204">
        <v>54</v>
      </c>
      <c r="AI10" s="204">
        <v>90</v>
      </c>
      <c r="AJ10" s="204">
        <v>207</v>
      </c>
      <c r="AK10" s="205">
        <v>351</v>
      </c>
      <c r="AL10" s="188">
        <v>0.15384615384615385</v>
      </c>
      <c r="AM10" s="188">
        <v>0.25641025641025639</v>
      </c>
      <c r="AN10" s="188">
        <v>0.58974358974358976</v>
      </c>
      <c r="AO10" s="188">
        <v>9</v>
      </c>
    </row>
    <row r="11" spans="1:41" x14ac:dyDescent="0.25">
      <c r="AF11" s="188" t="s">
        <v>357</v>
      </c>
      <c r="AG11" s="188" t="s">
        <v>34</v>
      </c>
      <c r="AH11" s="204">
        <v>123</v>
      </c>
      <c r="AI11" s="204">
        <v>48</v>
      </c>
      <c r="AJ11" s="204">
        <v>173</v>
      </c>
      <c r="AK11" s="205">
        <v>344</v>
      </c>
      <c r="AL11" s="188">
        <v>0.35755813953488375</v>
      </c>
      <c r="AM11" s="188">
        <v>0.13953488372093023</v>
      </c>
      <c r="AN11" s="188">
        <v>0.50290697674418605</v>
      </c>
      <c r="AO11" s="188">
        <v>10</v>
      </c>
    </row>
    <row r="12" spans="1:41" x14ac:dyDescent="0.25">
      <c r="AF12" s="188" t="s">
        <v>55</v>
      </c>
      <c r="AG12" s="188" t="s">
        <v>54</v>
      </c>
      <c r="AH12" s="204">
        <v>108</v>
      </c>
      <c r="AI12" s="204">
        <v>25</v>
      </c>
      <c r="AJ12" s="204">
        <v>192</v>
      </c>
      <c r="AK12" s="205">
        <v>325</v>
      </c>
      <c r="AL12" s="188">
        <v>0.3323076923076923</v>
      </c>
      <c r="AM12" s="188">
        <v>7.6923076923076927E-2</v>
      </c>
      <c r="AN12" s="188">
        <v>0.59076923076923082</v>
      </c>
      <c r="AO12" s="188">
        <v>11</v>
      </c>
    </row>
    <row r="13" spans="1:41" x14ac:dyDescent="0.25">
      <c r="AF13" s="188" t="s">
        <v>9</v>
      </c>
      <c r="AG13" s="188" t="s">
        <v>8</v>
      </c>
      <c r="AH13" s="204">
        <v>88</v>
      </c>
      <c r="AI13" s="204">
        <v>69</v>
      </c>
      <c r="AJ13" s="204">
        <v>167</v>
      </c>
      <c r="AK13" s="205">
        <v>324</v>
      </c>
      <c r="AL13" s="188">
        <v>0.27160493827160492</v>
      </c>
      <c r="AM13" s="188">
        <v>0.21296296296296297</v>
      </c>
      <c r="AN13" s="188">
        <v>0.51543209876543206</v>
      </c>
      <c r="AO13" s="188">
        <v>12</v>
      </c>
    </row>
    <row r="14" spans="1:41" x14ac:dyDescent="0.25">
      <c r="AF14" s="188" t="s">
        <v>101</v>
      </c>
      <c r="AG14" s="188" t="s">
        <v>100</v>
      </c>
      <c r="AH14" s="204">
        <v>78</v>
      </c>
      <c r="AI14" s="204">
        <v>52</v>
      </c>
      <c r="AJ14" s="204">
        <v>187</v>
      </c>
      <c r="AK14" s="205">
        <v>317</v>
      </c>
      <c r="AL14" s="188">
        <v>0.24605678233438485</v>
      </c>
      <c r="AM14" s="188">
        <v>0.16403785488958991</v>
      </c>
      <c r="AN14" s="188">
        <v>0.58990536277602523</v>
      </c>
      <c r="AO14" s="188">
        <v>13</v>
      </c>
    </row>
    <row r="15" spans="1:41" x14ac:dyDescent="0.25">
      <c r="AF15" s="188" t="s">
        <v>130</v>
      </c>
      <c r="AG15" s="188" t="s">
        <v>129</v>
      </c>
      <c r="AH15" s="204">
        <v>110</v>
      </c>
      <c r="AI15" s="204">
        <v>13</v>
      </c>
      <c r="AJ15" s="204">
        <v>183</v>
      </c>
      <c r="AK15" s="205">
        <v>306</v>
      </c>
      <c r="AL15" s="188">
        <v>0.35947712418300654</v>
      </c>
      <c r="AM15" s="188">
        <v>4.2483660130718956E-2</v>
      </c>
      <c r="AN15" s="188">
        <v>0.59803921568627449</v>
      </c>
      <c r="AO15" s="188">
        <v>14</v>
      </c>
    </row>
    <row r="16" spans="1:41" x14ac:dyDescent="0.25">
      <c r="AF16" s="188" t="s">
        <v>623</v>
      </c>
      <c r="AG16" s="188" t="s">
        <v>622</v>
      </c>
      <c r="AH16" s="204">
        <v>94</v>
      </c>
      <c r="AI16" s="204">
        <v>102</v>
      </c>
      <c r="AJ16" s="204">
        <v>100</v>
      </c>
      <c r="AK16" s="205">
        <v>296</v>
      </c>
      <c r="AL16" s="188">
        <v>0.31756756756756754</v>
      </c>
      <c r="AM16" s="188">
        <v>0.34459459459459457</v>
      </c>
      <c r="AN16" s="188">
        <v>0.33783783783783783</v>
      </c>
      <c r="AO16" s="188">
        <v>15</v>
      </c>
    </row>
    <row r="17" spans="2:41" x14ac:dyDescent="0.25">
      <c r="AF17" s="188" t="s">
        <v>148</v>
      </c>
      <c r="AG17" s="188" t="s">
        <v>147</v>
      </c>
      <c r="AH17" s="206">
        <v>110</v>
      </c>
      <c r="AI17" s="206">
        <v>40</v>
      </c>
      <c r="AJ17" s="206">
        <v>108</v>
      </c>
      <c r="AK17" s="205">
        <v>258</v>
      </c>
      <c r="AL17" s="188">
        <v>0.4263565891472868</v>
      </c>
      <c r="AM17" s="188">
        <v>0.15503875968992248</v>
      </c>
      <c r="AN17" s="188">
        <v>0.41860465116279072</v>
      </c>
      <c r="AO17" s="188">
        <v>16</v>
      </c>
    </row>
    <row r="18" spans="2:41" x14ac:dyDescent="0.25">
      <c r="AF18" s="188" t="s">
        <v>116</v>
      </c>
      <c r="AG18" s="188" t="s">
        <v>115</v>
      </c>
      <c r="AH18" s="204">
        <v>93</v>
      </c>
      <c r="AI18" s="204">
        <v>27</v>
      </c>
      <c r="AJ18" s="204">
        <v>136</v>
      </c>
      <c r="AK18" s="205">
        <v>256</v>
      </c>
      <c r="AL18" s="188">
        <v>0.36328125</v>
      </c>
      <c r="AM18" s="188">
        <v>0.10546875</v>
      </c>
      <c r="AN18" s="188">
        <v>0.53125</v>
      </c>
      <c r="AO18" s="188">
        <v>17</v>
      </c>
    </row>
    <row r="19" spans="2:41" x14ac:dyDescent="0.25">
      <c r="AF19" s="188" t="s">
        <v>518</v>
      </c>
      <c r="AG19" s="188" t="s">
        <v>626</v>
      </c>
      <c r="AH19" s="204">
        <v>64</v>
      </c>
      <c r="AI19" s="204">
        <v>10</v>
      </c>
      <c r="AJ19" s="204">
        <v>172</v>
      </c>
      <c r="AK19" s="205">
        <v>246</v>
      </c>
      <c r="AL19" s="188">
        <v>0.26016260162601629</v>
      </c>
      <c r="AM19" s="188">
        <v>4.065040650406504E-2</v>
      </c>
      <c r="AN19" s="188">
        <v>0.69918699186991873</v>
      </c>
      <c r="AO19" s="188">
        <v>18</v>
      </c>
    </row>
    <row r="20" spans="2:41" x14ac:dyDescent="0.25">
      <c r="AF20" s="188" t="s">
        <v>168</v>
      </c>
      <c r="AG20" s="188" t="s">
        <v>2</v>
      </c>
      <c r="AH20" s="204">
        <v>111</v>
      </c>
      <c r="AI20" s="204">
        <v>9</v>
      </c>
      <c r="AJ20" s="204">
        <v>119</v>
      </c>
      <c r="AK20" s="205">
        <v>239</v>
      </c>
      <c r="AL20" s="188">
        <v>0.46443514644351463</v>
      </c>
      <c r="AM20" s="188">
        <v>3.7656903765690378E-2</v>
      </c>
      <c r="AN20" s="188">
        <v>0.497907949790795</v>
      </c>
      <c r="AO20" s="188">
        <v>19</v>
      </c>
    </row>
    <row r="21" spans="2:41" x14ac:dyDescent="0.25">
      <c r="AF21" s="188" t="s">
        <v>53</v>
      </c>
      <c r="AG21" s="188" t="s">
        <v>52</v>
      </c>
      <c r="AH21" s="204">
        <v>23</v>
      </c>
      <c r="AI21" s="204">
        <v>48</v>
      </c>
      <c r="AJ21" s="204">
        <v>154</v>
      </c>
      <c r="AK21" s="205">
        <v>225</v>
      </c>
      <c r="AL21" s="188">
        <v>0.10222222222222223</v>
      </c>
      <c r="AM21" s="188">
        <v>0.21333333333333335</v>
      </c>
      <c r="AN21" s="188">
        <v>0.68444444444444441</v>
      </c>
      <c r="AO21" s="188">
        <v>20</v>
      </c>
    </row>
    <row r="22" spans="2:41" x14ac:dyDescent="0.25">
      <c r="AF22" s="188" t="s">
        <v>611</v>
      </c>
      <c r="AG22" s="188" t="s">
        <v>610</v>
      </c>
      <c r="AH22" s="204">
        <v>72</v>
      </c>
      <c r="AI22" s="204">
        <v>23</v>
      </c>
      <c r="AJ22" s="204">
        <v>127</v>
      </c>
      <c r="AK22" s="205">
        <v>222</v>
      </c>
      <c r="AL22" s="188">
        <v>0.32432432432432434</v>
      </c>
      <c r="AM22" s="188">
        <v>0.1036036036036036</v>
      </c>
      <c r="AN22" s="188">
        <v>0.57207207207207211</v>
      </c>
      <c r="AO22" s="188">
        <v>21</v>
      </c>
    </row>
    <row r="23" spans="2:41" x14ac:dyDescent="0.25">
      <c r="AF23" s="188" t="s">
        <v>43</v>
      </c>
      <c r="AG23" s="188" t="s">
        <v>42</v>
      </c>
      <c r="AH23" s="204">
        <v>82</v>
      </c>
      <c r="AI23" s="204">
        <v>0</v>
      </c>
      <c r="AJ23" s="204">
        <v>132</v>
      </c>
      <c r="AK23" s="205">
        <v>214</v>
      </c>
      <c r="AL23" s="188">
        <v>0.38317757009345793</v>
      </c>
      <c r="AM23" s="188">
        <v>0</v>
      </c>
      <c r="AN23" s="188">
        <v>0.61682242990654201</v>
      </c>
      <c r="AO23" s="188">
        <v>22</v>
      </c>
    </row>
    <row r="24" spans="2:41" x14ac:dyDescent="0.25">
      <c r="AF24" s="188" t="s">
        <v>57</v>
      </c>
      <c r="AG24" s="188" t="s">
        <v>56</v>
      </c>
      <c r="AH24" s="204">
        <v>102</v>
      </c>
      <c r="AI24" s="204">
        <v>44</v>
      </c>
      <c r="AJ24" s="204">
        <v>66</v>
      </c>
      <c r="AK24" s="205">
        <v>212</v>
      </c>
      <c r="AL24" s="188">
        <v>0.48113207547169812</v>
      </c>
      <c r="AM24" s="188">
        <v>0.20754716981132076</v>
      </c>
      <c r="AN24" s="188">
        <v>0.31132075471698112</v>
      </c>
      <c r="AO24" s="188">
        <v>23</v>
      </c>
    </row>
    <row r="25" spans="2:41" x14ac:dyDescent="0.25">
      <c r="AF25" s="188" t="s">
        <v>358</v>
      </c>
      <c r="AG25" s="188" t="s">
        <v>12</v>
      </c>
      <c r="AH25" s="204">
        <v>5</v>
      </c>
      <c r="AI25" s="204">
        <v>33</v>
      </c>
      <c r="AJ25" s="204">
        <v>171</v>
      </c>
      <c r="AK25" s="205">
        <v>209</v>
      </c>
      <c r="AL25" s="188">
        <v>2.3923444976076555E-2</v>
      </c>
      <c r="AM25" s="188">
        <v>0.15789473684210525</v>
      </c>
      <c r="AN25" s="188">
        <v>0.81818181818181823</v>
      </c>
      <c r="AO25" s="188">
        <v>24</v>
      </c>
    </row>
    <row r="26" spans="2:41" x14ac:dyDescent="0.25">
      <c r="AF26" s="188" t="s">
        <v>128</v>
      </c>
      <c r="AG26" s="188" t="s">
        <v>127</v>
      </c>
      <c r="AH26" s="204">
        <v>63</v>
      </c>
      <c r="AI26" s="204">
        <v>13</v>
      </c>
      <c r="AJ26" s="204">
        <v>130</v>
      </c>
      <c r="AK26" s="205">
        <v>206</v>
      </c>
      <c r="AL26" s="188">
        <v>0.30582524271844658</v>
      </c>
      <c r="AM26" s="188">
        <v>6.3106796116504854E-2</v>
      </c>
      <c r="AN26" s="188">
        <v>0.6310679611650486</v>
      </c>
      <c r="AO26" s="188">
        <v>25</v>
      </c>
    </row>
    <row r="27" spans="2:41" x14ac:dyDescent="0.25">
      <c r="AF27" s="188" t="s">
        <v>73</v>
      </c>
      <c r="AG27" s="188" t="s">
        <v>72</v>
      </c>
      <c r="AH27" s="204">
        <v>54</v>
      </c>
      <c r="AI27" s="204">
        <v>14</v>
      </c>
      <c r="AJ27" s="204">
        <v>125</v>
      </c>
      <c r="AK27" s="205">
        <v>193</v>
      </c>
      <c r="AL27" s="188">
        <v>0.27979274611398963</v>
      </c>
      <c r="AM27" s="188">
        <v>7.2538860103626937E-2</v>
      </c>
      <c r="AN27" s="188">
        <v>0.64766839378238339</v>
      </c>
      <c r="AO27" s="188">
        <v>26</v>
      </c>
    </row>
    <row r="28" spans="2:41" ht="15.75" thickBot="1" x14ac:dyDescent="0.3">
      <c r="AF28" s="188" t="s">
        <v>45</v>
      </c>
      <c r="AG28" s="188" t="s">
        <v>44</v>
      </c>
      <c r="AH28" s="204">
        <v>111</v>
      </c>
      <c r="AI28" s="204">
        <v>63</v>
      </c>
      <c r="AJ28" s="204">
        <v>14</v>
      </c>
      <c r="AK28" s="205">
        <v>188</v>
      </c>
      <c r="AL28" s="188">
        <v>0.59042553191489366</v>
      </c>
      <c r="AM28" s="188">
        <v>0.33510638297872342</v>
      </c>
      <c r="AN28" s="188">
        <v>7.4468085106382975E-2</v>
      </c>
      <c r="AO28" s="188">
        <v>27</v>
      </c>
    </row>
    <row r="29" spans="2:41" ht="60.75" thickBot="1" x14ac:dyDescent="0.3">
      <c r="B29" s="16" t="s">
        <v>149</v>
      </c>
      <c r="C29" s="16" t="s">
        <v>150</v>
      </c>
      <c r="D29" s="36" t="s">
        <v>699</v>
      </c>
      <c r="E29" s="37" t="s">
        <v>700</v>
      </c>
      <c r="F29" s="37" t="s">
        <v>701</v>
      </c>
      <c r="G29" s="37" t="s">
        <v>702</v>
      </c>
      <c r="H29" s="37" t="s">
        <v>703</v>
      </c>
      <c r="I29" s="37" t="s">
        <v>704</v>
      </c>
      <c r="J29" s="16" t="s">
        <v>705</v>
      </c>
      <c r="AF29" s="188" t="s">
        <v>170</v>
      </c>
      <c r="AG29" s="188" t="s">
        <v>29</v>
      </c>
      <c r="AH29" s="204">
        <v>40</v>
      </c>
      <c r="AI29" s="204">
        <v>47</v>
      </c>
      <c r="AJ29" s="204">
        <v>100</v>
      </c>
      <c r="AK29" s="205">
        <v>187</v>
      </c>
      <c r="AL29" s="188">
        <v>0.21390374331550802</v>
      </c>
      <c r="AM29" s="188">
        <v>0.25133689839572193</v>
      </c>
      <c r="AN29" s="188">
        <v>0.53475935828877008</v>
      </c>
      <c r="AO29" s="188">
        <v>28</v>
      </c>
    </row>
    <row r="30" spans="2:41" ht="15.75" thickBot="1" x14ac:dyDescent="0.3">
      <c r="B30" s="18" t="str">
        <f>B1</f>
        <v>Aneurin Bevan University Health Board</v>
      </c>
      <c r="C30" s="38" t="str">
        <f>VLOOKUP($B30,'LL Revasc Data'!$B:$AB,9,FALSE)</f>
        <v>7A6</v>
      </c>
      <c r="D30" s="38">
        <f>VLOOKUP($B30,'LL Revasc Data'!$B:$AB,8,FALSE)</f>
        <v>151</v>
      </c>
      <c r="E30" s="38">
        <f>VLOOKUP($B30,'LL Revasc Data'!$B:$AB,5,FALSE)</f>
        <v>75</v>
      </c>
      <c r="F30" s="38">
        <f>VLOOKUP($B30,'LL Revasc Data'!$B:$AB,6,FALSE)</f>
        <v>13</v>
      </c>
      <c r="G30" s="38">
        <f>VLOOKUP($B30,'LL Revasc Data'!$B:$AB,7,FALSE)</f>
        <v>63</v>
      </c>
      <c r="H30" s="38">
        <f>VLOOKUP($B30,'LL Revasc Data'!$B:$AB,2,FALSE)</f>
        <v>49</v>
      </c>
      <c r="I30" s="19" t="str">
        <f>VLOOKUP($B30,'LL Revasc Data'!$B:$AB,3,FALSE)</f>
        <v>3 (1 - 8)</v>
      </c>
      <c r="J30" s="41">
        <f>VLOOKUP($B30,'LL Revasc Data'!$B:$AB,4,FALSE)</f>
        <v>0.61000001430511475</v>
      </c>
      <c r="AF30" s="188" t="s">
        <v>33</v>
      </c>
      <c r="AG30" s="188" t="s">
        <v>32</v>
      </c>
      <c r="AH30" s="204">
        <v>52</v>
      </c>
      <c r="AI30" s="204">
        <v>14</v>
      </c>
      <c r="AJ30" s="204">
        <v>120</v>
      </c>
      <c r="AK30" s="205">
        <v>186</v>
      </c>
      <c r="AL30" s="188">
        <v>0.27956989247311825</v>
      </c>
      <c r="AM30" s="188">
        <v>7.5268817204301078E-2</v>
      </c>
      <c r="AN30" s="188">
        <v>0.64516129032258063</v>
      </c>
      <c r="AO30" s="188">
        <v>29</v>
      </c>
    </row>
    <row r="31" spans="2:41" ht="15.75" thickBot="1" x14ac:dyDescent="0.3">
      <c r="B31" s="212" t="s">
        <v>287</v>
      </c>
      <c r="C31" s="212"/>
      <c r="D31" s="96">
        <v>12326</v>
      </c>
      <c r="E31" s="97">
        <v>4209</v>
      </c>
      <c r="F31" s="97">
        <v>1608</v>
      </c>
      <c r="G31" s="97">
        <v>6509</v>
      </c>
      <c r="H31" s="94">
        <v>3711</v>
      </c>
      <c r="I31" s="64" t="s">
        <v>274</v>
      </c>
      <c r="J31" s="86">
        <v>0.54</v>
      </c>
      <c r="AF31" s="188" t="s">
        <v>108</v>
      </c>
      <c r="AG31" s="188" t="s">
        <v>107</v>
      </c>
      <c r="AH31" s="204">
        <v>39</v>
      </c>
      <c r="AI31" s="204">
        <v>1</v>
      </c>
      <c r="AJ31" s="204">
        <v>140</v>
      </c>
      <c r="AK31" s="205">
        <v>180</v>
      </c>
      <c r="AL31" s="188">
        <v>0.21666666666666667</v>
      </c>
      <c r="AM31" s="188">
        <v>5.5555555555555558E-3</v>
      </c>
      <c r="AN31" s="188">
        <v>0.77777777777777779</v>
      </c>
      <c r="AO31" s="188">
        <v>30</v>
      </c>
    </row>
    <row r="32" spans="2:41" x14ac:dyDescent="0.25">
      <c r="AF32" s="188" t="s">
        <v>70</v>
      </c>
      <c r="AG32" s="188" t="s">
        <v>69</v>
      </c>
      <c r="AH32" s="204">
        <v>80</v>
      </c>
      <c r="AI32" s="204">
        <v>17</v>
      </c>
      <c r="AJ32" s="204">
        <v>78</v>
      </c>
      <c r="AK32" s="205">
        <v>175</v>
      </c>
      <c r="AL32" s="188">
        <v>0.45714285714285713</v>
      </c>
      <c r="AM32" s="188">
        <v>9.7142857142857142E-2</v>
      </c>
      <c r="AN32" s="188">
        <v>0.44571428571428573</v>
      </c>
      <c r="AO32" s="188">
        <v>31</v>
      </c>
    </row>
    <row r="33" spans="32:41" x14ac:dyDescent="0.25">
      <c r="AF33" s="188" t="s">
        <v>514</v>
      </c>
      <c r="AG33" s="188" t="s">
        <v>513</v>
      </c>
      <c r="AH33" s="204">
        <v>152</v>
      </c>
      <c r="AI33" s="204">
        <v>16</v>
      </c>
      <c r="AJ33" s="204">
        <v>4</v>
      </c>
      <c r="AK33" s="205">
        <v>172</v>
      </c>
      <c r="AL33" s="188">
        <v>0.88372093023255816</v>
      </c>
      <c r="AM33" s="188">
        <v>9.3023255813953487E-2</v>
      </c>
      <c r="AN33" s="188">
        <v>2.3255813953488372E-2</v>
      </c>
      <c r="AO33" s="188">
        <v>32</v>
      </c>
    </row>
    <row r="34" spans="32:41" x14ac:dyDescent="0.25">
      <c r="AF34" s="188" t="s">
        <v>353</v>
      </c>
      <c r="AG34" s="188" t="s">
        <v>35</v>
      </c>
      <c r="AH34" s="204">
        <v>31</v>
      </c>
      <c r="AI34" s="204">
        <v>7</v>
      </c>
      <c r="AJ34" s="204">
        <v>127</v>
      </c>
      <c r="AK34" s="205">
        <v>165</v>
      </c>
      <c r="AL34" s="188">
        <v>0.18787878787878787</v>
      </c>
      <c r="AM34" s="188">
        <v>4.2424242424242427E-2</v>
      </c>
      <c r="AN34" s="188">
        <v>0.76969696969696966</v>
      </c>
      <c r="AO34" s="188">
        <v>33</v>
      </c>
    </row>
    <row r="35" spans="32:41" x14ac:dyDescent="0.25">
      <c r="AF35" s="188" t="s">
        <v>41</v>
      </c>
      <c r="AG35" s="188" t="s">
        <v>40</v>
      </c>
      <c r="AH35" s="204">
        <v>109</v>
      </c>
      <c r="AI35" s="204">
        <v>29</v>
      </c>
      <c r="AJ35" s="204">
        <v>18</v>
      </c>
      <c r="AK35" s="205">
        <v>156</v>
      </c>
      <c r="AL35" s="188">
        <v>0.69871794871794868</v>
      </c>
      <c r="AM35" s="188">
        <v>0.1858974358974359</v>
      </c>
      <c r="AN35" s="188">
        <v>0.11538461538461539</v>
      </c>
      <c r="AO35" s="188">
        <v>34</v>
      </c>
    </row>
    <row r="36" spans="32:41" x14ac:dyDescent="0.25">
      <c r="AF36" s="188" t="s">
        <v>62</v>
      </c>
      <c r="AG36" s="188" t="s">
        <v>61</v>
      </c>
      <c r="AH36" s="204">
        <v>78</v>
      </c>
      <c r="AI36" s="204">
        <v>7</v>
      </c>
      <c r="AJ36" s="204">
        <v>67</v>
      </c>
      <c r="AK36" s="205">
        <v>152</v>
      </c>
      <c r="AL36" s="188">
        <v>0.51315789473684215</v>
      </c>
      <c r="AM36" s="188">
        <v>4.6052631578947366E-2</v>
      </c>
      <c r="AN36" s="188">
        <v>0.44078947368421051</v>
      </c>
      <c r="AO36" s="188">
        <v>35</v>
      </c>
    </row>
    <row r="37" spans="32:41" x14ac:dyDescent="0.25">
      <c r="AF37" s="188" t="s">
        <v>7</v>
      </c>
      <c r="AG37" s="188" t="s">
        <v>6</v>
      </c>
      <c r="AH37" s="206">
        <v>75</v>
      </c>
      <c r="AI37" s="206">
        <v>13</v>
      </c>
      <c r="AJ37" s="206">
        <v>63</v>
      </c>
      <c r="AK37" s="205">
        <v>151</v>
      </c>
      <c r="AL37" s="188">
        <v>0.49668874172185429</v>
      </c>
      <c r="AM37" s="188">
        <v>8.6092715231788075E-2</v>
      </c>
      <c r="AN37" s="188">
        <v>0.41721854304635764</v>
      </c>
      <c r="AO37" s="188">
        <v>36</v>
      </c>
    </row>
    <row r="38" spans="32:41" x14ac:dyDescent="0.25">
      <c r="AF38" s="188" t="s">
        <v>59</v>
      </c>
      <c r="AG38" s="188" t="s">
        <v>58</v>
      </c>
      <c r="AH38" s="204">
        <v>69</v>
      </c>
      <c r="AI38" s="204">
        <v>16</v>
      </c>
      <c r="AJ38" s="204">
        <v>50</v>
      </c>
      <c r="AK38" s="205">
        <v>135</v>
      </c>
      <c r="AL38" s="188">
        <v>0.51111111111111107</v>
      </c>
      <c r="AM38" s="188">
        <v>0.11851851851851852</v>
      </c>
      <c r="AN38" s="188">
        <v>0.37037037037037035</v>
      </c>
      <c r="AO38" s="188">
        <v>37</v>
      </c>
    </row>
    <row r="39" spans="32:41" x14ac:dyDescent="0.25">
      <c r="AF39" s="188" t="s">
        <v>94</v>
      </c>
      <c r="AG39" s="188" t="s">
        <v>93</v>
      </c>
      <c r="AH39" s="204">
        <v>60</v>
      </c>
      <c r="AI39" s="204">
        <v>27</v>
      </c>
      <c r="AJ39" s="204">
        <v>31</v>
      </c>
      <c r="AK39" s="205">
        <v>118</v>
      </c>
      <c r="AL39" s="188">
        <v>0.50847457627118642</v>
      </c>
      <c r="AM39" s="188">
        <v>0.2288135593220339</v>
      </c>
      <c r="AN39" s="188">
        <v>0.26271186440677968</v>
      </c>
      <c r="AO39" s="188">
        <v>38</v>
      </c>
    </row>
    <row r="40" spans="32:41" x14ac:dyDescent="0.25">
      <c r="AF40" s="188" t="s">
        <v>504</v>
      </c>
      <c r="AG40" s="188" t="s">
        <v>17</v>
      </c>
      <c r="AH40" s="204">
        <v>56</v>
      </c>
      <c r="AI40" s="204">
        <v>29</v>
      </c>
      <c r="AJ40" s="204">
        <v>27</v>
      </c>
      <c r="AK40" s="205">
        <v>112</v>
      </c>
      <c r="AL40" s="188">
        <v>0.5</v>
      </c>
      <c r="AM40" s="188">
        <v>0.25892857142857145</v>
      </c>
      <c r="AN40" s="188">
        <v>0.24107142857142858</v>
      </c>
      <c r="AO40" s="188">
        <v>39</v>
      </c>
    </row>
    <row r="41" spans="32:41" x14ac:dyDescent="0.25">
      <c r="AF41" s="188" t="s">
        <v>499</v>
      </c>
      <c r="AG41" s="188" t="s">
        <v>498</v>
      </c>
      <c r="AH41" s="204">
        <v>25</v>
      </c>
      <c r="AI41" s="204">
        <v>10</v>
      </c>
      <c r="AJ41" s="204">
        <v>77</v>
      </c>
      <c r="AK41" s="205">
        <v>112</v>
      </c>
      <c r="AL41" s="188">
        <v>0.22321428571428573</v>
      </c>
      <c r="AM41" s="188">
        <v>8.9285714285714288E-2</v>
      </c>
      <c r="AN41" s="188">
        <v>0.6875</v>
      </c>
      <c r="AO41" s="188">
        <v>40</v>
      </c>
    </row>
    <row r="42" spans="32:41" x14ac:dyDescent="0.25">
      <c r="AF42" s="188" t="s">
        <v>66</v>
      </c>
      <c r="AG42" s="188" t="s">
        <v>65</v>
      </c>
      <c r="AH42" s="204">
        <v>34</v>
      </c>
      <c r="AI42" s="204">
        <v>20</v>
      </c>
      <c r="AJ42" s="204">
        <v>50</v>
      </c>
      <c r="AK42" s="205">
        <v>104</v>
      </c>
      <c r="AL42" s="188">
        <v>0.32692307692307693</v>
      </c>
      <c r="AM42" s="188">
        <v>0.19230769230769232</v>
      </c>
      <c r="AN42" s="188">
        <v>0.48076923076923078</v>
      </c>
      <c r="AO42" s="188">
        <v>41</v>
      </c>
    </row>
    <row r="43" spans="32:41" x14ac:dyDescent="0.25">
      <c r="AF43" s="188" t="s">
        <v>1</v>
      </c>
      <c r="AG43" s="188" t="s">
        <v>0</v>
      </c>
      <c r="AH43" s="206">
        <v>59</v>
      </c>
      <c r="AI43" s="206">
        <v>38</v>
      </c>
      <c r="AJ43" s="206">
        <v>2</v>
      </c>
      <c r="AK43" s="205">
        <v>99</v>
      </c>
      <c r="AL43" s="188">
        <v>0.59595959595959591</v>
      </c>
      <c r="AM43" s="188">
        <v>0.38383838383838381</v>
      </c>
      <c r="AN43" s="188">
        <v>2.0202020202020204E-2</v>
      </c>
      <c r="AO43" s="188">
        <v>42</v>
      </c>
    </row>
    <row r="44" spans="32:41" x14ac:dyDescent="0.25">
      <c r="AF44" s="188" t="s">
        <v>103</v>
      </c>
      <c r="AG44" s="188" t="s">
        <v>102</v>
      </c>
      <c r="AH44" s="204">
        <v>25</v>
      </c>
      <c r="AI44" s="204">
        <v>29</v>
      </c>
      <c r="AJ44" s="204">
        <v>35</v>
      </c>
      <c r="AK44" s="205">
        <v>89</v>
      </c>
      <c r="AL44" s="188">
        <v>0.2808988764044944</v>
      </c>
      <c r="AM44" s="188">
        <v>0.3258426966292135</v>
      </c>
      <c r="AN44" s="188">
        <v>0.39325842696629215</v>
      </c>
      <c r="AO44" s="188">
        <v>43</v>
      </c>
    </row>
    <row r="45" spans="32:41" x14ac:dyDescent="0.25">
      <c r="AF45" s="188" t="s">
        <v>526</v>
      </c>
      <c r="AG45" s="188" t="s">
        <v>525</v>
      </c>
      <c r="AH45" s="204">
        <v>84</v>
      </c>
      <c r="AI45" s="204">
        <v>0</v>
      </c>
      <c r="AJ45" s="204">
        <v>0</v>
      </c>
      <c r="AK45" s="205">
        <v>84</v>
      </c>
      <c r="AL45" s="188">
        <v>1</v>
      </c>
      <c r="AM45" s="188">
        <v>0</v>
      </c>
      <c r="AN45" s="188">
        <v>0</v>
      </c>
      <c r="AO45" s="188">
        <v>44</v>
      </c>
    </row>
    <row r="46" spans="32:41" x14ac:dyDescent="0.25">
      <c r="AF46" s="188" t="s">
        <v>4</v>
      </c>
      <c r="AG46" s="188" t="s">
        <v>3</v>
      </c>
      <c r="AH46" s="204">
        <v>51</v>
      </c>
      <c r="AI46" s="204">
        <v>4</v>
      </c>
      <c r="AJ46" s="204">
        <v>27</v>
      </c>
      <c r="AK46" s="205">
        <v>82</v>
      </c>
      <c r="AL46" s="188">
        <v>0.62195121951219512</v>
      </c>
      <c r="AM46" s="188">
        <v>4.878048780487805E-2</v>
      </c>
      <c r="AN46" s="188">
        <v>0.32926829268292684</v>
      </c>
      <c r="AO46" s="188">
        <v>45</v>
      </c>
    </row>
    <row r="47" spans="32:41" x14ac:dyDescent="0.25">
      <c r="AF47" s="188" t="s">
        <v>47</v>
      </c>
      <c r="AG47" s="188" t="s">
        <v>46</v>
      </c>
      <c r="AH47" s="204">
        <v>49</v>
      </c>
      <c r="AI47" s="204">
        <v>6</v>
      </c>
      <c r="AJ47" s="204">
        <v>19</v>
      </c>
      <c r="AK47" s="205">
        <v>74</v>
      </c>
      <c r="AL47" s="188">
        <v>0.66216216216216217</v>
      </c>
      <c r="AM47" s="188">
        <v>8.1081081081081086E-2</v>
      </c>
      <c r="AN47" s="188">
        <v>0.25675675675675674</v>
      </c>
      <c r="AO47" s="188">
        <v>46</v>
      </c>
    </row>
    <row r="48" spans="32:41" x14ac:dyDescent="0.25">
      <c r="AF48" s="188" t="s">
        <v>114</v>
      </c>
      <c r="AG48" s="188" t="s">
        <v>113</v>
      </c>
      <c r="AH48" s="204">
        <v>22</v>
      </c>
      <c r="AI48" s="204">
        <v>19</v>
      </c>
      <c r="AJ48" s="204">
        <v>32</v>
      </c>
      <c r="AK48" s="205">
        <v>73</v>
      </c>
      <c r="AL48" s="188">
        <v>0.30136986301369861</v>
      </c>
      <c r="AM48" s="188">
        <v>0.26027397260273971</v>
      </c>
      <c r="AN48" s="188">
        <v>0.43835616438356162</v>
      </c>
      <c r="AO48" s="188">
        <v>47</v>
      </c>
    </row>
    <row r="49" spans="32:41" x14ac:dyDescent="0.25">
      <c r="AF49" s="188" t="s">
        <v>84</v>
      </c>
      <c r="AG49" s="188" t="s">
        <v>83</v>
      </c>
      <c r="AH49" s="204">
        <v>55</v>
      </c>
      <c r="AI49" s="204">
        <v>16</v>
      </c>
      <c r="AJ49" s="204">
        <v>1</v>
      </c>
      <c r="AK49" s="205">
        <v>72</v>
      </c>
      <c r="AL49" s="188">
        <v>0.76388888888888884</v>
      </c>
      <c r="AM49" s="188">
        <v>0.22222222222222221</v>
      </c>
      <c r="AN49" s="188">
        <v>1.3888888888888888E-2</v>
      </c>
      <c r="AO49" s="188">
        <v>48</v>
      </c>
    </row>
    <row r="50" spans="32:41" x14ac:dyDescent="0.25">
      <c r="AF50" s="188" t="s">
        <v>11</v>
      </c>
      <c r="AG50" s="188" t="s">
        <v>10</v>
      </c>
      <c r="AH50" s="204">
        <v>17</v>
      </c>
      <c r="AI50" s="204">
        <v>8</v>
      </c>
      <c r="AJ50" s="204">
        <v>44</v>
      </c>
      <c r="AK50" s="205">
        <v>69</v>
      </c>
      <c r="AL50" s="188">
        <v>0.24637681159420291</v>
      </c>
      <c r="AM50" s="188">
        <v>0.11594202898550725</v>
      </c>
      <c r="AN50" s="188">
        <v>0.6376811594202898</v>
      </c>
      <c r="AO50" s="188">
        <v>49</v>
      </c>
    </row>
    <row r="51" spans="32:41" x14ac:dyDescent="0.25">
      <c r="AF51" s="188" t="s">
        <v>99</v>
      </c>
      <c r="AG51" s="188" t="s">
        <v>98</v>
      </c>
      <c r="AH51" s="204">
        <v>59</v>
      </c>
      <c r="AI51" s="204">
        <v>5</v>
      </c>
      <c r="AJ51" s="204">
        <v>0</v>
      </c>
      <c r="AK51" s="205">
        <v>64</v>
      </c>
      <c r="AL51" s="188">
        <v>0.921875</v>
      </c>
      <c r="AM51" s="188">
        <v>7.8125E-2</v>
      </c>
      <c r="AN51" s="188">
        <v>0</v>
      </c>
      <c r="AO51" s="188">
        <v>50</v>
      </c>
    </row>
    <row r="52" spans="32:41" x14ac:dyDescent="0.25">
      <c r="AF52" s="188" t="s">
        <v>136</v>
      </c>
      <c r="AG52" s="188" t="s">
        <v>135</v>
      </c>
      <c r="AH52" s="204">
        <v>61</v>
      </c>
      <c r="AI52" s="204">
        <v>2</v>
      </c>
      <c r="AJ52" s="204">
        <v>0</v>
      </c>
      <c r="AK52" s="205">
        <v>63</v>
      </c>
      <c r="AL52" s="188">
        <v>0.96825396825396826</v>
      </c>
      <c r="AM52" s="188">
        <v>3.1746031746031744E-2</v>
      </c>
      <c r="AN52" s="188">
        <v>0</v>
      </c>
      <c r="AO52" s="188">
        <v>51</v>
      </c>
    </row>
    <row r="53" spans="32:41" x14ac:dyDescent="0.25">
      <c r="AF53" s="188" t="s">
        <v>31</v>
      </c>
      <c r="AG53" s="188" t="s">
        <v>30</v>
      </c>
      <c r="AH53" s="204">
        <v>35</v>
      </c>
      <c r="AI53" s="204">
        <v>24</v>
      </c>
      <c r="AJ53" s="204">
        <v>2</v>
      </c>
      <c r="AK53" s="205">
        <v>61</v>
      </c>
      <c r="AL53" s="188">
        <v>0.57377049180327866</v>
      </c>
      <c r="AM53" s="188">
        <v>0.39344262295081966</v>
      </c>
      <c r="AN53" s="188">
        <v>3.2786885245901641E-2</v>
      </c>
      <c r="AO53" s="188">
        <v>52</v>
      </c>
    </row>
    <row r="54" spans="32:41" x14ac:dyDescent="0.25">
      <c r="AF54" s="188" t="s">
        <v>502</v>
      </c>
      <c r="AG54" s="188" t="s">
        <v>501</v>
      </c>
      <c r="AH54" s="204">
        <v>54</v>
      </c>
      <c r="AI54" s="204">
        <v>6</v>
      </c>
      <c r="AJ54" s="204">
        <v>0</v>
      </c>
      <c r="AK54" s="205">
        <v>60</v>
      </c>
      <c r="AL54" s="188">
        <v>0.9</v>
      </c>
      <c r="AM54" s="188">
        <v>0.1</v>
      </c>
      <c r="AN54" s="188">
        <v>0</v>
      </c>
      <c r="AO54" s="188">
        <v>53</v>
      </c>
    </row>
    <row r="55" spans="32:41" x14ac:dyDescent="0.25">
      <c r="AF55" s="188" t="s">
        <v>723</v>
      </c>
      <c r="AG55" s="188" t="s">
        <v>111</v>
      </c>
      <c r="AH55" s="204">
        <v>37</v>
      </c>
      <c r="AI55" s="204">
        <v>9</v>
      </c>
      <c r="AJ55" s="204">
        <v>8</v>
      </c>
      <c r="AK55" s="205">
        <v>54</v>
      </c>
      <c r="AL55" s="188">
        <v>0.68518518518518523</v>
      </c>
      <c r="AM55" s="188">
        <v>0.16666666666666666</v>
      </c>
      <c r="AN55" s="188">
        <v>0.14814814814814814</v>
      </c>
      <c r="AO55" s="188">
        <v>54</v>
      </c>
    </row>
    <row r="56" spans="32:41" x14ac:dyDescent="0.25">
      <c r="AF56" s="188" t="s">
        <v>134</v>
      </c>
      <c r="AG56" s="188" t="s">
        <v>133</v>
      </c>
      <c r="AH56" s="204">
        <v>36</v>
      </c>
      <c r="AI56" s="204">
        <v>16</v>
      </c>
      <c r="AJ56" s="204">
        <v>1</v>
      </c>
      <c r="AK56" s="205">
        <v>53</v>
      </c>
      <c r="AL56" s="188">
        <v>0.67924528301886788</v>
      </c>
      <c r="AM56" s="188">
        <v>0.30188679245283018</v>
      </c>
      <c r="AN56" s="188">
        <v>1.8867924528301886E-2</v>
      </c>
      <c r="AO56" s="188">
        <v>55</v>
      </c>
    </row>
    <row r="57" spans="32:41" x14ac:dyDescent="0.25">
      <c r="AF57" s="188" t="s">
        <v>120</v>
      </c>
      <c r="AG57" s="188" t="s">
        <v>119</v>
      </c>
      <c r="AH57" s="204">
        <v>49</v>
      </c>
      <c r="AI57" s="204">
        <v>1</v>
      </c>
      <c r="AJ57" s="204">
        <v>0</v>
      </c>
      <c r="AK57" s="205">
        <v>50</v>
      </c>
      <c r="AL57" s="188">
        <v>0.98</v>
      </c>
      <c r="AM57" s="188">
        <v>0.02</v>
      </c>
      <c r="AN57" s="188">
        <v>0</v>
      </c>
      <c r="AO57" s="188">
        <v>56</v>
      </c>
    </row>
    <row r="58" spans="32:41" x14ac:dyDescent="0.25">
      <c r="AF58" s="188" t="s">
        <v>140</v>
      </c>
      <c r="AG58" s="188" t="s">
        <v>139</v>
      </c>
      <c r="AH58" s="204">
        <v>31</v>
      </c>
      <c r="AI58" s="204">
        <v>8</v>
      </c>
      <c r="AJ58" s="204">
        <v>9</v>
      </c>
      <c r="AK58" s="205">
        <v>48</v>
      </c>
      <c r="AL58" s="188">
        <v>0.64583333333333337</v>
      </c>
      <c r="AM58" s="188">
        <v>0.16666666666666666</v>
      </c>
      <c r="AN58" s="188">
        <v>0.1875</v>
      </c>
      <c r="AO58" s="188">
        <v>57</v>
      </c>
    </row>
    <row r="59" spans="32:41" x14ac:dyDescent="0.25">
      <c r="AF59" s="188" t="s">
        <v>138</v>
      </c>
      <c r="AG59" s="188" t="s">
        <v>137</v>
      </c>
      <c r="AH59" s="204">
        <v>43</v>
      </c>
      <c r="AI59" s="204">
        <v>5</v>
      </c>
      <c r="AJ59" s="204">
        <v>0</v>
      </c>
      <c r="AK59" s="205">
        <v>48</v>
      </c>
      <c r="AL59" s="188">
        <v>0.89583333333333337</v>
      </c>
      <c r="AM59" s="188">
        <v>0.10416666666666667</v>
      </c>
      <c r="AN59" s="188">
        <v>0</v>
      </c>
      <c r="AO59" s="188">
        <v>58</v>
      </c>
    </row>
    <row r="60" spans="32:41" x14ac:dyDescent="0.25">
      <c r="AF60" s="188" t="s">
        <v>144</v>
      </c>
      <c r="AG60" s="188" t="s">
        <v>143</v>
      </c>
      <c r="AH60" s="204">
        <v>37</v>
      </c>
      <c r="AI60" s="204">
        <v>7</v>
      </c>
      <c r="AJ60" s="204">
        <v>0</v>
      </c>
      <c r="AK60" s="205">
        <v>44</v>
      </c>
      <c r="AL60" s="188">
        <v>0.84090909090909094</v>
      </c>
      <c r="AM60" s="188">
        <v>0.15909090909090909</v>
      </c>
      <c r="AN60" s="188">
        <v>0</v>
      </c>
      <c r="AO60" s="188">
        <v>59</v>
      </c>
    </row>
    <row r="61" spans="32:41" x14ac:dyDescent="0.25">
      <c r="AF61" s="188" t="s">
        <v>360</v>
      </c>
      <c r="AG61" s="188" t="s">
        <v>96</v>
      </c>
      <c r="AH61" s="204">
        <v>34</v>
      </c>
      <c r="AI61" s="204">
        <v>6</v>
      </c>
      <c r="AJ61" s="204">
        <v>4</v>
      </c>
      <c r="AK61" s="205">
        <v>44</v>
      </c>
      <c r="AL61" s="188">
        <v>0.77272727272727271</v>
      </c>
      <c r="AM61" s="188">
        <v>0.13636363636363635</v>
      </c>
      <c r="AN61" s="188">
        <v>9.0909090909090912E-2</v>
      </c>
      <c r="AO61" s="188">
        <v>60</v>
      </c>
    </row>
    <row r="62" spans="32:41" x14ac:dyDescent="0.25">
      <c r="AF62" s="188" t="s">
        <v>169</v>
      </c>
      <c r="AG62" s="188" t="s">
        <v>60</v>
      </c>
      <c r="AH62" s="204">
        <v>43</v>
      </c>
      <c r="AI62" s="204">
        <v>1</v>
      </c>
      <c r="AJ62" s="204">
        <v>0</v>
      </c>
      <c r="AK62" s="205">
        <v>44</v>
      </c>
      <c r="AL62" s="188">
        <v>0.97727272727272729</v>
      </c>
      <c r="AM62" s="188">
        <v>2.2727272727272728E-2</v>
      </c>
      <c r="AN62" s="188">
        <v>0</v>
      </c>
      <c r="AO62" s="188">
        <v>61</v>
      </c>
    </row>
    <row r="63" spans="32:41" x14ac:dyDescent="0.25">
      <c r="AF63" s="188" t="s">
        <v>16</v>
      </c>
      <c r="AG63" s="188" t="s">
        <v>15</v>
      </c>
      <c r="AH63" s="204">
        <v>30</v>
      </c>
      <c r="AI63" s="204">
        <v>7</v>
      </c>
      <c r="AJ63" s="204">
        <v>0</v>
      </c>
      <c r="AK63" s="205">
        <v>37</v>
      </c>
      <c r="AL63" s="188">
        <v>0.81081081081081086</v>
      </c>
      <c r="AM63" s="188">
        <v>0.1891891891891892</v>
      </c>
      <c r="AN63" s="188">
        <v>0</v>
      </c>
      <c r="AO63" s="188">
        <v>62</v>
      </c>
    </row>
    <row r="64" spans="32:41" x14ac:dyDescent="0.25">
      <c r="AF64" s="188" t="s">
        <v>76</v>
      </c>
      <c r="AG64" s="188" t="s">
        <v>75</v>
      </c>
      <c r="AH64" s="204">
        <v>27</v>
      </c>
      <c r="AI64" s="204">
        <v>9</v>
      </c>
      <c r="AJ64" s="204">
        <v>0</v>
      </c>
      <c r="AK64" s="205">
        <v>36</v>
      </c>
      <c r="AL64" s="188">
        <v>0.75</v>
      </c>
      <c r="AM64" s="188">
        <v>0.25</v>
      </c>
      <c r="AN64" s="188">
        <v>0</v>
      </c>
      <c r="AO64" s="188">
        <v>63</v>
      </c>
    </row>
    <row r="65" spans="32:41" x14ac:dyDescent="0.25">
      <c r="AF65" s="188" t="s">
        <v>142</v>
      </c>
      <c r="AG65" s="188" t="s">
        <v>141</v>
      </c>
      <c r="AH65" s="206">
        <v>20</v>
      </c>
      <c r="AI65" s="206">
        <v>8</v>
      </c>
      <c r="AJ65" s="206">
        <v>0</v>
      </c>
      <c r="AK65" s="205">
        <v>28</v>
      </c>
      <c r="AL65" s="188">
        <v>0.7142857142857143</v>
      </c>
      <c r="AM65" s="188">
        <v>0.2857142857142857</v>
      </c>
      <c r="AN65" s="188">
        <v>0</v>
      </c>
      <c r="AO65" s="188">
        <v>64</v>
      </c>
    </row>
  </sheetData>
  <mergeCells count="2">
    <mergeCell ref="B31:C31"/>
    <mergeCell ref="E1:G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'LL Revasc Data'!$B$2:$B$94</xm:f>
          </x14:formula1>
          <xm:sqref>B1</xm:sqref>
        </x14:dataValidation>
        <x14:dataValidation type="list" allowBlank="1" showInputMessage="1" showErrorMessage="1">
          <x14:formula1>
            <xm:f>'LL Revasc Data'!$D$1:$E$1</xm:f>
          </x14:formula1>
          <xm:sqref>E1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G29" sqref="G29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6" bestFit="1" customWidth="1"/>
    <col min="4" max="4" width="6.42578125" bestFit="1" customWidth="1"/>
    <col min="5" max="5" width="11.42578125" customWidth="1"/>
    <col min="6" max="6" width="13.28515625" customWidth="1"/>
    <col min="7" max="7" width="12.5703125" customWidth="1"/>
    <col min="8" max="8" width="12.140625" customWidth="1"/>
    <col min="9" max="11" width="9" customWidth="1"/>
    <col min="12" max="12" width="11.42578125" customWidth="1"/>
    <col min="13" max="13" width="13.5703125" customWidth="1"/>
    <col min="14" max="14" width="13.7109375" customWidth="1"/>
    <col min="16" max="16" width="13" customWidth="1"/>
    <col min="17" max="17" width="15.42578125" customWidth="1"/>
    <col min="18" max="18" width="13.28515625" customWidth="1"/>
  </cols>
  <sheetData>
    <row r="1" spans="1:22" x14ac:dyDescent="0.25">
      <c r="A1">
        <v>0</v>
      </c>
      <c r="B1" t="s">
        <v>318</v>
      </c>
      <c r="E1">
        <f t="shared" ref="E1:H5" si="0">QUARTILE(E$8:E$78,$A1)</f>
        <v>0.48148150000000001</v>
      </c>
      <c r="F1">
        <f t="shared" si="0"/>
        <v>0</v>
      </c>
      <c r="G1">
        <f t="shared" si="0"/>
        <v>0.42857139999999999</v>
      </c>
      <c r="H1">
        <f t="shared" si="0"/>
        <v>0.1129032</v>
      </c>
    </row>
    <row r="2" spans="1:22" x14ac:dyDescent="0.25">
      <c r="A2">
        <v>1</v>
      </c>
      <c r="B2" t="s">
        <v>319</v>
      </c>
      <c r="E2">
        <f t="shared" si="0"/>
        <v>0.86875002499999998</v>
      </c>
      <c r="F2">
        <f t="shared" si="0"/>
        <v>0.96666660000000004</v>
      </c>
      <c r="G2">
        <f t="shared" si="0"/>
        <v>0.87092389999999997</v>
      </c>
      <c r="H2">
        <f t="shared" si="0"/>
        <v>0.80098040000000004</v>
      </c>
    </row>
    <row r="3" spans="1:22" x14ac:dyDescent="0.25">
      <c r="A3">
        <v>2</v>
      </c>
      <c r="B3" t="s">
        <v>320</v>
      </c>
      <c r="E3">
        <f t="shared" si="0"/>
        <v>0.95833330000000005</v>
      </c>
      <c r="F3">
        <f t="shared" si="0"/>
        <v>1</v>
      </c>
      <c r="G3">
        <f t="shared" si="0"/>
        <v>0.96153840000000002</v>
      </c>
      <c r="H3">
        <f t="shared" si="0"/>
        <v>0.92307689999999998</v>
      </c>
    </row>
    <row r="4" spans="1:22" x14ac:dyDescent="0.25">
      <c r="A4">
        <v>3</v>
      </c>
      <c r="B4" t="s">
        <v>321</v>
      </c>
      <c r="E4">
        <f t="shared" si="0"/>
        <v>1</v>
      </c>
      <c r="F4">
        <f t="shared" si="0"/>
        <v>1</v>
      </c>
      <c r="G4">
        <f t="shared" si="0"/>
        <v>1</v>
      </c>
      <c r="H4">
        <f t="shared" si="0"/>
        <v>0.97268739999999998</v>
      </c>
    </row>
    <row r="5" spans="1:22" x14ac:dyDescent="0.25">
      <c r="A5">
        <v>4</v>
      </c>
      <c r="B5" t="s">
        <v>322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22" ht="90" x14ac:dyDescent="0.25">
      <c r="A7" s="5" t="s">
        <v>150</v>
      </c>
      <c r="B7" s="5" t="s">
        <v>149</v>
      </c>
      <c r="C7" s="5" t="s">
        <v>158</v>
      </c>
      <c r="D7" s="5" t="s">
        <v>159</v>
      </c>
      <c r="E7" s="5" t="s">
        <v>166</v>
      </c>
      <c r="F7" s="5" t="s">
        <v>160</v>
      </c>
      <c r="G7" s="5" t="s">
        <v>161</v>
      </c>
      <c r="H7" s="5" t="s">
        <v>162</v>
      </c>
      <c r="I7" s="5" t="s">
        <v>529</v>
      </c>
      <c r="J7" s="5" t="s">
        <v>530</v>
      </c>
      <c r="K7" s="5" t="s">
        <v>531</v>
      </c>
      <c r="L7" s="5" t="s">
        <v>165</v>
      </c>
      <c r="M7" s="5" t="s">
        <v>164</v>
      </c>
      <c r="N7" s="5" t="s">
        <v>497</v>
      </c>
      <c r="O7" s="5" t="s">
        <v>150</v>
      </c>
      <c r="P7" s="13" t="s">
        <v>323</v>
      </c>
      <c r="Q7" s="31" t="s">
        <v>324</v>
      </c>
      <c r="R7" s="31" t="s">
        <v>325</v>
      </c>
      <c r="S7" s="31" t="s">
        <v>326</v>
      </c>
      <c r="T7" s="31" t="s">
        <v>337</v>
      </c>
      <c r="U7" s="31" t="s">
        <v>345</v>
      </c>
      <c r="V7" s="24" t="s">
        <v>532</v>
      </c>
    </row>
    <row r="8" spans="1:22" x14ac:dyDescent="0.25">
      <c r="A8" t="s">
        <v>6</v>
      </c>
      <c r="B8" t="s">
        <v>7</v>
      </c>
      <c r="C8" s="7">
        <v>12</v>
      </c>
      <c r="D8" s="7">
        <v>7</v>
      </c>
      <c r="E8" s="60">
        <v>0.91666669999999995</v>
      </c>
      <c r="F8" s="60">
        <v>0.91666669999999995</v>
      </c>
      <c r="G8" s="60">
        <v>0.91666669999999995</v>
      </c>
      <c r="H8" s="60">
        <v>0.91666669999999995</v>
      </c>
      <c r="I8" s="62">
        <f>C8-D8</f>
        <v>5</v>
      </c>
      <c r="J8" s="60">
        <v>0.58333333333333337</v>
      </c>
      <c r="K8" s="60">
        <v>0.41666666666666669</v>
      </c>
      <c r="L8" s="7" t="s">
        <v>237</v>
      </c>
      <c r="M8" s="7" t="s">
        <v>182</v>
      </c>
      <c r="N8" s="61">
        <v>2.3226299999999998</v>
      </c>
      <c r="O8" t="str">
        <f>A8</f>
        <v>7A6</v>
      </c>
      <c r="P8" s="26">
        <f>+IF(E8&lt;E$2,1,IF(E8&lt;E$3,2,IF(E8&lt;E$4,3,4)))</f>
        <v>2</v>
      </c>
      <c r="Q8" s="26">
        <f>+IF(F8&lt;F$2,1,IF(F8&lt;F$3,2,IF(F8&lt;F$4,3,4)))</f>
        <v>1</v>
      </c>
      <c r="R8" s="26">
        <f>+IF(G8&lt;G$2,1,IF(G8&lt;G$3,2,IF(G8&lt;G$4,3,4)))</f>
        <v>2</v>
      </c>
      <c r="S8" s="26">
        <f>+IF(H8&lt;H$2,1,IF(H8&lt;H$3,2,IF(H8&lt;H$4,3,4)))</f>
        <v>2</v>
      </c>
      <c r="T8" s="46">
        <f>IF('AAA Summary'!$L$35=4, RANK(H8,H$8:H$82,1)+COUNTIF($H$8:H8,H8)-1, IF('AAA Summary'!$L$35=3, RANK(G8,G$8:G$82,1)+COUNTIF($G$8:G8,G8)-1, IF('AAA Summary'!$L$35=2, RANK(F8,F$8:F$82,1)+COUNTIF($F$8:F8,F8)-1, IF('AAA Summary'!$L$35=1, RANK(E8,E$8:E$82,1)+COUNTIF($E$8:E8,E8)-1))))</f>
        <v>23</v>
      </c>
      <c r="U8" s="34">
        <f>IF('AAA Summary'!$L$35=4, H8, IF('AAA Summary'!$L$35=3, G8, IF('AAA Summary'!$L$35=2, F8, IF('AAA Summary'!$L$35=1, E8))))</f>
        <v>0.91666669999999995</v>
      </c>
      <c r="V8">
        <f t="shared" ref="V8:V40" si="1">RANK(J8,$J$8:$J$78)</f>
        <v>35</v>
      </c>
    </row>
    <row r="9" spans="1:22" x14ac:dyDescent="0.25">
      <c r="A9" t="s">
        <v>97</v>
      </c>
      <c r="B9" t="s">
        <v>352</v>
      </c>
      <c r="C9" s="7">
        <v>15</v>
      </c>
      <c r="D9" s="7">
        <v>9</v>
      </c>
      <c r="E9" s="60">
        <v>0.86666670000000001</v>
      </c>
      <c r="F9" s="60">
        <v>1</v>
      </c>
      <c r="G9" s="60">
        <v>0.83333330000000005</v>
      </c>
      <c r="H9" s="60">
        <v>0.73333329999999997</v>
      </c>
      <c r="I9" s="62">
        <f t="shared" ref="I9:I72" si="2">C9-D9</f>
        <v>6</v>
      </c>
      <c r="J9" s="60">
        <v>0.6</v>
      </c>
      <c r="K9" s="60">
        <v>0.4</v>
      </c>
      <c r="L9" s="7" t="s">
        <v>194</v>
      </c>
      <c r="M9" s="7" t="s">
        <v>253</v>
      </c>
      <c r="N9" s="61">
        <v>1.43868</v>
      </c>
      <c r="O9" t="str">
        <f t="shared" ref="O9:O72" si="3">A9</f>
        <v>RTK</v>
      </c>
      <c r="P9" s="26">
        <f t="shared" ref="P9:P72" si="4">+IF(E9&lt;E$2,1,IF(E9&lt;E$3,2,IF(E9&lt;E$4,3,4)))</f>
        <v>1</v>
      </c>
      <c r="Q9" s="26">
        <f t="shared" ref="Q9:Q72" si="5">+IF(F9&lt;F$2,1,IF(F9&lt;F$3,2,IF(F9&lt;F$4,3,4)))</f>
        <v>4</v>
      </c>
      <c r="R9" s="26">
        <f t="shared" ref="R9:R72" si="6">+IF(G9&lt;G$2,1,IF(G9&lt;G$3,2,IF(G9&lt;G$4,3,4)))</f>
        <v>1</v>
      </c>
      <c r="S9" s="26">
        <f t="shared" ref="S9:S72" si="7">+IF(H9&lt;H$2,1,IF(H9&lt;H$3,2,IF(H9&lt;H$4,3,4)))</f>
        <v>1</v>
      </c>
      <c r="T9" s="46">
        <f>IF('AAA Summary'!$L$35=4, RANK(H9,H$8:H$82,1)+COUNTIF($H$8:H9,H9)-1, IF('AAA Summary'!$L$35=3, RANK(G9,G$8:G$82,1)+COUNTIF($G$8:G9,G9)-1, IF('AAA Summary'!$L$35=2, RANK(F9,F$8:F$82,1)+COUNTIF($F$8:F9,F9)-1, IF('AAA Summary'!$L$35=1, RANK(E9,E$8:E$82,1)+COUNTIF($E$8:E9,E9)-1))))</f>
        <v>18</v>
      </c>
      <c r="U9" s="34">
        <f>IF('AAA Summary'!$L$35=4, H9, IF('AAA Summary'!$L$35=3, G9, IF('AAA Summary'!$L$35=2, F9, IF('AAA Summary'!$L$35=1, E9))))</f>
        <v>0.86666670000000001</v>
      </c>
      <c r="V9">
        <f t="shared" si="1"/>
        <v>32</v>
      </c>
    </row>
    <row r="10" spans="1:22" x14ac:dyDescent="0.25">
      <c r="A10" t="s">
        <v>35</v>
      </c>
      <c r="B10" t="s">
        <v>353</v>
      </c>
      <c r="C10" s="7">
        <v>17</v>
      </c>
      <c r="D10" s="7">
        <v>16</v>
      </c>
      <c r="E10" s="60">
        <v>0.94117649999999997</v>
      </c>
      <c r="F10" s="60">
        <v>1</v>
      </c>
      <c r="G10" s="60">
        <v>0.9375</v>
      </c>
      <c r="H10" s="60">
        <v>0.94117649999999997</v>
      </c>
      <c r="I10" s="62">
        <f t="shared" si="2"/>
        <v>1</v>
      </c>
      <c r="J10" s="60">
        <v>0.94117647058823528</v>
      </c>
      <c r="K10" s="60">
        <v>5.8823529411764705E-2</v>
      </c>
      <c r="L10" s="7" t="s">
        <v>235</v>
      </c>
      <c r="M10" s="7" t="s">
        <v>512</v>
      </c>
      <c r="N10" s="61">
        <v>1.44017</v>
      </c>
      <c r="O10" t="str">
        <f t="shared" si="3"/>
        <v>RF4</v>
      </c>
      <c r="P10" s="26">
        <f t="shared" si="4"/>
        <v>2</v>
      </c>
      <c r="Q10" s="26">
        <f t="shared" si="5"/>
        <v>4</v>
      </c>
      <c r="R10" s="26">
        <f t="shared" si="6"/>
        <v>2</v>
      </c>
      <c r="S10" s="26">
        <f t="shared" si="7"/>
        <v>3</v>
      </c>
      <c r="T10" s="46">
        <f>IF('AAA Summary'!$L$35=4, RANK(H10,H$8:H$82,1)+COUNTIF($H$8:H10,H10)-1, IF('AAA Summary'!$L$35=3, RANK(G10,G$8:G$82,1)+COUNTIF($G$8:G10,G10)-1, IF('AAA Summary'!$L$35=2, RANK(F10,F$8:F$82,1)+COUNTIF($F$8:F10,F10)-1, IF('AAA Summary'!$L$35=1, RANK(E10,E$8:E$82,1)+COUNTIF($E$8:E10,E10)-1))))</f>
        <v>29</v>
      </c>
      <c r="U10" s="34">
        <f>IF('AAA Summary'!$L$35=4, H10, IF('AAA Summary'!$L$35=3, G10, IF('AAA Summary'!$L$35=2, F10, IF('AAA Summary'!$L$35=1, E10))))</f>
        <v>0.94117649999999997</v>
      </c>
      <c r="V10">
        <f t="shared" si="1"/>
        <v>4</v>
      </c>
    </row>
    <row r="11" spans="1:22" x14ac:dyDescent="0.25">
      <c r="A11" t="s">
        <v>10</v>
      </c>
      <c r="B11" t="s">
        <v>11</v>
      </c>
      <c r="C11" s="7">
        <v>19</v>
      </c>
      <c r="D11" s="7">
        <v>11</v>
      </c>
      <c r="E11" s="60">
        <v>1</v>
      </c>
      <c r="F11" s="60">
        <v>1</v>
      </c>
      <c r="G11" s="60">
        <v>1</v>
      </c>
      <c r="H11" s="60">
        <v>0.9473684</v>
      </c>
      <c r="I11" s="62">
        <f t="shared" si="2"/>
        <v>8</v>
      </c>
      <c r="J11" s="60">
        <v>0.57894736842105265</v>
      </c>
      <c r="K11" s="60">
        <v>0.42105263157894735</v>
      </c>
      <c r="L11" s="7" t="s">
        <v>235</v>
      </c>
      <c r="M11" s="7" t="s">
        <v>503</v>
      </c>
      <c r="N11" s="61">
        <v>3.4294900000000004</v>
      </c>
      <c r="O11" t="str">
        <f t="shared" si="3"/>
        <v>R1H</v>
      </c>
      <c r="P11" s="26">
        <f t="shared" si="4"/>
        <v>4</v>
      </c>
      <c r="Q11" s="26">
        <f t="shared" si="5"/>
        <v>4</v>
      </c>
      <c r="R11" s="26">
        <f t="shared" si="6"/>
        <v>4</v>
      </c>
      <c r="S11" s="26">
        <f t="shared" si="7"/>
        <v>3</v>
      </c>
      <c r="T11" s="46">
        <f>IF('AAA Summary'!$L$35=4, RANK(H11,H$8:H$82,1)+COUNTIF($H$8:H11,H11)-1, IF('AAA Summary'!$L$35=3, RANK(G11,G$8:G$82,1)+COUNTIF($G$8:G11,G11)-1, IF('AAA Summary'!$L$35=2, RANK(F11,F$8:F$82,1)+COUNTIF($F$8:F11,F11)-1, IF('AAA Summary'!$L$35=1, RANK(E11,E$8:E$82,1)+COUNTIF($E$8:E11,E11)-1))))</f>
        <v>49</v>
      </c>
      <c r="U11" s="34">
        <f>IF('AAA Summary'!$L$35=4, H11, IF('AAA Summary'!$L$35=3, G11, IF('AAA Summary'!$L$35=2, F11, IF('AAA Summary'!$L$35=1, E11))))</f>
        <v>1</v>
      </c>
      <c r="V11">
        <f t="shared" si="1"/>
        <v>38</v>
      </c>
    </row>
    <row r="12" spans="1:22" x14ac:dyDescent="0.25">
      <c r="A12" s="7" t="s">
        <v>610</v>
      </c>
      <c r="B12" s="95" t="s">
        <v>611</v>
      </c>
      <c r="C12" s="7">
        <v>38</v>
      </c>
      <c r="D12" s="7">
        <v>35</v>
      </c>
      <c r="E12" s="60">
        <v>1</v>
      </c>
      <c r="F12" s="60">
        <v>0.9473684</v>
      </c>
      <c r="G12" s="60">
        <v>1</v>
      </c>
      <c r="H12" s="60">
        <v>0.9736842</v>
      </c>
      <c r="I12" s="62">
        <f t="shared" si="2"/>
        <v>3</v>
      </c>
      <c r="J12" s="60">
        <v>0.92105263157894735</v>
      </c>
      <c r="K12" s="60">
        <v>7.8947368421052627E-2</v>
      </c>
      <c r="L12" s="7" t="s">
        <v>237</v>
      </c>
      <c r="M12" s="7" t="s">
        <v>508</v>
      </c>
      <c r="N12" s="61">
        <v>2.5105200000000001</v>
      </c>
      <c r="O12" t="str">
        <f t="shared" si="3"/>
        <v>RC9</v>
      </c>
      <c r="P12" s="26">
        <f t="shared" si="4"/>
        <v>4</v>
      </c>
      <c r="Q12" s="26">
        <f t="shared" si="5"/>
        <v>1</v>
      </c>
      <c r="R12" s="26">
        <f t="shared" si="6"/>
        <v>4</v>
      </c>
      <c r="S12" s="26">
        <f t="shared" si="7"/>
        <v>4</v>
      </c>
      <c r="T12" s="46">
        <f>IF('AAA Summary'!$L$35=4, RANK(H12,H$8:H$82,1)+COUNTIF($H$8:H12,H12)-1, IF('AAA Summary'!$L$35=3, RANK(G12,G$8:G$82,1)+COUNTIF($G$8:G12,G12)-1, IF('AAA Summary'!$L$35=2, RANK(F12,F$8:F$82,1)+COUNTIF($F$8:F12,F12)-1, IF('AAA Summary'!$L$35=1, RANK(E12,E$8:E$82,1)+COUNTIF($E$8:E12,E12)-1))))</f>
        <v>50</v>
      </c>
      <c r="U12" s="34">
        <f>IF('AAA Summary'!$L$35=4, H12, IF('AAA Summary'!$L$35=3, G12, IF('AAA Summary'!$L$35=2, F12, IF('AAA Summary'!$L$35=1, E12))))</f>
        <v>1</v>
      </c>
      <c r="V12">
        <f t="shared" si="1"/>
        <v>5</v>
      </c>
    </row>
    <row r="13" spans="1:22" x14ac:dyDescent="0.25">
      <c r="A13" t="s">
        <v>147</v>
      </c>
      <c r="B13" t="s">
        <v>148</v>
      </c>
      <c r="C13" s="7">
        <v>75</v>
      </c>
      <c r="D13" s="7">
        <v>34</v>
      </c>
      <c r="E13" s="60">
        <v>0.97333340000000002</v>
      </c>
      <c r="F13" s="60">
        <v>0.98666670000000001</v>
      </c>
      <c r="G13" s="60">
        <v>0.97142859999999998</v>
      </c>
      <c r="H13" s="60">
        <v>0.93333330000000003</v>
      </c>
      <c r="I13" s="62">
        <f t="shared" si="2"/>
        <v>41</v>
      </c>
      <c r="J13" s="60">
        <v>0.45333333333333331</v>
      </c>
      <c r="K13" s="60">
        <v>0.54666666666666663</v>
      </c>
      <c r="L13" s="7" t="s">
        <v>193</v>
      </c>
      <c r="M13" s="7" t="s">
        <v>331</v>
      </c>
      <c r="N13" s="61">
        <v>0.35513</v>
      </c>
      <c r="O13" t="str">
        <f t="shared" si="3"/>
        <v>ZT001</v>
      </c>
      <c r="P13" s="26">
        <f t="shared" si="4"/>
        <v>3</v>
      </c>
      <c r="Q13" s="26">
        <f t="shared" si="5"/>
        <v>2</v>
      </c>
      <c r="R13" s="26">
        <f t="shared" si="6"/>
        <v>3</v>
      </c>
      <c r="S13" s="26">
        <f t="shared" si="7"/>
        <v>3</v>
      </c>
      <c r="T13" s="46">
        <f>IF('AAA Summary'!$L$35=4, RANK(H13,H$8:H$82,1)+COUNTIF($H$8:H13,H13)-1, IF('AAA Summary'!$L$35=3, RANK(G13,G$8:G$82,1)+COUNTIF($G$8:G13,G13)-1, IF('AAA Summary'!$L$35=2, RANK(F13,F$8:F$82,1)+COUNTIF($F$8:F13,F13)-1, IF('AAA Summary'!$L$35=1, RANK(E13,E$8:E$82,1)+COUNTIF($E$8:E13,E13)-1))))</f>
        <v>41</v>
      </c>
      <c r="U13" s="34">
        <f>IF('AAA Summary'!$L$35=4, H13, IF('AAA Summary'!$L$35=3, G13, IF('AAA Summary'!$L$35=2, F13, IF('AAA Summary'!$L$35=1, E13))))</f>
        <v>0.97333340000000002</v>
      </c>
      <c r="V13">
        <f t="shared" si="1"/>
        <v>55</v>
      </c>
    </row>
    <row r="14" spans="1:22" x14ac:dyDescent="0.25">
      <c r="A14" t="s">
        <v>0</v>
      </c>
      <c r="B14" t="s">
        <v>1</v>
      </c>
      <c r="C14" s="7">
        <v>45</v>
      </c>
      <c r="D14" s="7">
        <v>24</v>
      </c>
      <c r="E14" s="60">
        <v>1</v>
      </c>
      <c r="F14" s="60">
        <v>1</v>
      </c>
      <c r="G14" s="60">
        <v>1</v>
      </c>
      <c r="H14" s="60">
        <v>0.84444450000000004</v>
      </c>
      <c r="I14" s="62">
        <f t="shared" si="2"/>
        <v>21</v>
      </c>
      <c r="J14" s="60">
        <v>0.53333333333333333</v>
      </c>
      <c r="K14" s="60">
        <v>0.46666666666666667</v>
      </c>
      <c r="L14" s="7" t="s">
        <v>189</v>
      </c>
      <c r="M14" s="7" t="s">
        <v>386</v>
      </c>
      <c r="N14" s="61">
        <v>3.9099500000000003</v>
      </c>
      <c r="O14" t="str">
        <f t="shared" si="3"/>
        <v>7A1</v>
      </c>
      <c r="P14" s="26">
        <f t="shared" si="4"/>
        <v>4</v>
      </c>
      <c r="Q14" s="26">
        <f t="shared" si="5"/>
        <v>4</v>
      </c>
      <c r="R14" s="26">
        <f t="shared" si="6"/>
        <v>4</v>
      </c>
      <c r="S14" s="26">
        <f t="shared" si="7"/>
        <v>2</v>
      </c>
      <c r="T14" s="46">
        <f>IF('AAA Summary'!$L$35=4, RANK(H14,H$8:H$82,1)+COUNTIF($H$8:H14,H14)-1, IF('AAA Summary'!$L$35=3, RANK(G14,G$8:G$82,1)+COUNTIF($G$8:G14,G14)-1, IF('AAA Summary'!$L$35=2, RANK(F14,F$8:F$82,1)+COUNTIF($F$8:F14,F14)-1, IF('AAA Summary'!$L$35=1, RANK(E14,E$8:E$82,1)+COUNTIF($E$8:E14,E14)-1))))</f>
        <v>51</v>
      </c>
      <c r="U14" s="34">
        <f>IF('AAA Summary'!$L$35=4, H14, IF('AAA Summary'!$L$35=3, G14, IF('AAA Summary'!$L$35=2, F14, IF('AAA Summary'!$L$35=1, E14))))</f>
        <v>1</v>
      </c>
      <c r="V14">
        <f t="shared" si="1"/>
        <v>46</v>
      </c>
    </row>
    <row r="15" spans="1:22" x14ac:dyDescent="0.25">
      <c r="A15" t="s">
        <v>15</v>
      </c>
      <c r="B15" t="s">
        <v>16</v>
      </c>
      <c r="C15" s="7" t="s">
        <v>283</v>
      </c>
      <c r="D15" s="7">
        <v>0</v>
      </c>
      <c r="E15" s="60">
        <v>1</v>
      </c>
      <c r="F15" s="60">
        <v>0.75</v>
      </c>
      <c r="G15" s="60">
        <v>1</v>
      </c>
      <c r="H15" s="60">
        <v>1</v>
      </c>
      <c r="I15" s="62" t="e">
        <f t="shared" si="2"/>
        <v>#VALUE!</v>
      </c>
      <c r="J15" s="60">
        <v>0</v>
      </c>
      <c r="K15" s="60">
        <v>1</v>
      </c>
      <c r="L15" s="7" t="s">
        <v>276</v>
      </c>
      <c r="M15" s="7" t="s">
        <v>284</v>
      </c>
      <c r="N15" s="61">
        <v>0</v>
      </c>
      <c r="O15" t="str">
        <f t="shared" si="3"/>
        <v>RAE</v>
      </c>
      <c r="P15" s="26">
        <f t="shared" si="4"/>
        <v>4</v>
      </c>
      <c r="Q15" s="26">
        <f t="shared" si="5"/>
        <v>1</v>
      </c>
      <c r="R15" s="26">
        <f t="shared" si="6"/>
        <v>4</v>
      </c>
      <c r="S15" s="26">
        <f t="shared" si="7"/>
        <v>4</v>
      </c>
      <c r="T15" s="46">
        <f>IF('AAA Summary'!$L$35=4, RANK(H15,H$8:H$82,1)+COUNTIF($H$8:H15,H15)-1, IF('AAA Summary'!$L$35=3, RANK(G15,G$8:G$82,1)+COUNTIF($G$8:G15,G15)-1, IF('AAA Summary'!$L$35=2, RANK(F15,F$8:F$82,1)+COUNTIF($F$8:F15,F15)-1, IF('AAA Summary'!$L$35=1, RANK(E15,E$8:E$82,1)+COUNTIF($E$8:E15,E15)-1))))</f>
        <v>52</v>
      </c>
      <c r="U15" s="34">
        <f>IF('AAA Summary'!$L$35=4, H15, IF('AAA Summary'!$L$35=3, G15, IF('AAA Summary'!$L$35=2, F15, IF('AAA Summary'!$L$35=1, E15))))</f>
        <v>1</v>
      </c>
      <c r="V15">
        <f t="shared" si="1"/>
        <v>68</v>
      </c>
    </row>
    <row r="16" spans="1:22" x14ac:dyDescent="0.25">
      <c r="A16" t="s">
        <v>40</v>
      </c>
      <c r="B16" t="s">
        <v>41</v>
      </c>
      <c r="C16" s="7">
        <v>59</v>
      </c>
      <c r="D16" s="7">
        <v>28</v>
      </c>
      <c r="E16" s="60">
        <v>0.79661020000000005</v>
      </c>
      <c r="F16" s="60">
        <v>0.9830508</v>
      </c>
      <c r="G16" s="60">
        <v>0.83673470000000005</v>
      </c>
      <c r="H16" s="60">
        <v>0.86440680000000003</v>
      </c>
      <c r="I16" s="62">
        <f t="shared" si="2"/>
        <v>31</v>
      </c>
      <c r="J16" s="60">
        <v>0.47457627118644069</v>
      </c>
      <c r="K16" s="60">
        <v>0.52542372881355937</v>
      </c>
      <c r="L16" s="7" t="s">
        <v>235</v>
      </c>
      <c r="M16" s="7" t="s">
        <v>254</v>
      </c>
      <c r="N16" s="61">
        <v>0.38488</v>
      </c>
      <c r="O16" t="str">
        <f t="shared" si="3"/>
        <v>RGT</v>
      </c>
      <c r="P16" s="26">
        <f t="shared" si="4"/>
        <v>1</v>
      </c>
      <c r="Q16" s="26">
        <f t="shared" si="5"/>
        <v>2</v>
      </c>
      <c r="R16" s="26">
        <f t="shared" si="6"/>
        <v>1</v>
      </c>
      <c r="S16" s="26">
        <f t="shared" si="7"/>
        <v>2</v>
      </c>
      <c r="T16" s="46">
        <f>IF('AAA Summary'!$L$35=4, RANK(H16,H$8:H$82,1)+COUNTIF($H$8:H16,H16)-1, IF('AAA Summary'!$L$35=3, RANK(G16,G$8:G$82,1)+COUNTIF($G$8:G16,G16)-1, IF('AAA Summary'!$L$35=2, RANK(F16,F$8:F$82,1)+COUNTIF($F$8:F16,F16)-1, IF('AAA Summary'!$L$35=1, RANK(E16,E$8:E$82,1)+COUNTIF($E$8:E16,E16)-1))))</f>
        <v>10</v>
      </c>
      <c r="U16" s="34">
        <f>IF('AAA Summary'!$L$35=4, H16, IF('AAA Summary'!$L$35=3, G16, IF('AAA Summary'!$L$35=2, F16, IF('AAA Summary'!$L$35=1, E16))))</f>
        <v>0.79661020000000005</v>
      </c>
      <c r="V16">
        <f t="shared" si="1"/>
        <v>52</v>
      </c>
    </row>
    <row r="17" spans="1:22" x14ac:dyDescent="0.25">
      <c r="A17" t="s">
        <v>3</v>
      </c>
      <c r="B17" t="s">
        <v>4</v>
      </c>
      <c r="C17" s="7">
        <v>15</v>
      </c>
      <c r="D17" s="7">
        <v>12</v>
      </c>
      <c r="E17" s="60">
        <v>0.93333330000000003</v>
      </c>
      <c r="F17" s="60">
        <v>0.93333330000000003</v>
      </c>
      <c r="G17" s="60">
        <v>0.91666669999999995</v>
      </c>
      <c r="H17" s="60">
        <v>0.93333330000000003</v>
      </c>
      <c r="I17" s="62">
        <f t="shared" si="2"/>
        <v>3</v>
      </c>
      <c r="J17" s="60">
        <v>0.8</v>
      </c>
      <c r="K17" s="60">
        <v>0.2</v>
      </c>
      <c r="L17" s="7" t="s">
        <v>177</v>
      </c>
      <c r="M17" s="7" t="s">
        <v>471</v>
      </c>
      <c r="N17" s="61">
        <v>4.2947699999999998</v>
      </c>
      <c r="O17" t="str">
        <f t="shared" si="3"/>
        <v>7A4</v>
      </c>
      <c r="P17" s="26">
        <f t="shared" si="4"/>
        <v>2</v>
      </c>
      <c r="Q17" s="26">
        <f t="shared" si="5"/>
        <v>1</v>
      </c>
      <c r="R17" s="26">
        <f t="shared" si="6"/>
        <v>2</v>
      </c>
      <c r="S17" s="26">
        <f t="shared" si="7"/>
        <v>3</v>
      </c>
      <c r="T17" s="46">
        <f>IF('AAA Summary'!$L$35=4, RANK(H17,H$8:H$82,1)+COUNTIF($H$8:H17,H17)-1, IF('AAA Summary'!$L$35=3, RANK(G17,G$8:G$82,1)+COUNTIF($G$8:G17,G17)-1, IF('AAA Summary'!$L$35=2, RANK(F17,F$8:F$82,1)+COUNTIF($F$8:F17,F17)-1, IF('AAA Summary'!$L$35=1, RANK(E17,E$8:E$82,1)+COUNTIF($E$8:E17,E17)-1))))</f>
        <v>26</v>
      </c>
      <c r="U17" s="34">
        <f>IF('AAA Summary'!$L$35=4, H17, IF('AAA Summary'!$L$35=3, G17, IF('AAA Summary'!$L$35=2, F17, IF('AAA Summary'!$L$35=1, E17))))</f>
        <v>0.93333330000000003</v>
      </c>
      <c r="V17">
        <f t="shared" si="1"/>
        <v>9</v>
      </c>
    </row>
    <row r="18" spans="1:22" x14ac:dyDescent="0.25">
      <c r="A18" t="s">
        <v>56</v>
      </c>
      <c r="B18" t="s">
        <v>57</v>
      </c>
      <c r="C18" s="7">
        <v>49</v>
      </c>
      <c r="D18" s="7">
        <v>38</v>
      </c>
      <c r="E18" s="60">
        <v>0.89795919999999996</v>
      </c>
      <c r="F18" s="60">
        <v>0.97959180000000001</v>
      </c>
      <c r="G18" s="60">
        <v>0.91489359999999997</v>
      </c>
      <c r="H18" s="60">
        <v>0.77551020000000004</v>
      </c>
      <c r="I18" s="62">
        <f t="shared" si="2"/>
        <v>11</v>
      </c>
      <c r="J18" s="60">
        <v>0.77551020408163263</v>
      </c>
      <c r="K18" s="60">
        <v>0.22448979591836735</v>
      </c>
      <c r="L18" s="7" t="s">
        <v>237</v>
      </c>
      <c r="M18" s="7" t="s">
        <v>279</v>
      </c>
      <c r="N18" s="61">
        <v>1.9244399999999999</v>
      </c>
      <c r="O18" t="str">
        <f t="shared" si="3"/>
        <v>RJR</v>
      </c>
      <c r="P18" s="26">
        <f t="shared" si="4"/>
        <v>2</v>
      </c>
      <c r="Q18" s="26">
        <f t="shared" si="5"/>
        <v>2</v>
      </c>
      <c r="R18" s="26">
        <f t="shared" si="6"/>
        <v>2</v>
      </c>
      <c r="S18" s="26">
        <f t="shared" si="7"/>
        <v>1</v>
      </c>
      <c r="T18" s="46">
        <f>IF('AAA Summary'!$L$35=4, RANK(H18,H$8:H$82,1)+COUNTIF($H$8:H18,H18)-1, IF('AAA Summary'!$L$35=3, RANK(G18,G$8:G$82,1)+COUNTIF($G$8:G18,G18)-1, IF('AAA Summary'!$L$35=2, RANK(F18,F$8:F$82,1)+COUNTIF($F$8:F18,F18)-1, IF('AAA Summary'!$L$35=1, RANK(E18,E$8:E$82,1)+COUNTIF($E$8:E18,E18)-1))))</f>
        <v>22</v>
      </c>
      <c r="U18" s="34">
        <f>IF('AAA Summary'!$L$35=4, H18, IF('AAA Summary'!$L$35=3, G18, IF('AAA Summary'!$L$35=2, F18, IF('AAA Summary'!$L$35=1, E18))))</f>
        <v>0.89795919999999996</v>
      </c>
      <c r="V18">
        <f t="shared" si="1"/>
        <v>16</v>
      </c>
    </row>
    <row r="19" spans="1:22" x14ac:dyDescent="0.25">
      <c r="A19" t="s">
        <v>74</v>
      </c>
      <c r="B19" t="s">
        <v>355</v>
      </c>
      <c r="C19" s="7">
        <v>20</v>
      </c>
      <c r="D19" s="7">
        <v>10</v>
      </c>
      <c r="E19" s="60">
        <v>0.65</v>
      </c>
      <c r="F19" s="60">
        <v>0.9</v>
      </c>
      <c r="G19" s="60">
        <v>0.68421050000000005</v>
      </c>
      <c r="H19" s="60">
        <v>0.65</v>
      </c>
      <c r="I19" s="62">
        <f t="shared" si="2"/>
        <v>10</v>
      </c>
      <c r="J19" s="60">
        <v>0.5</v>
      </c>
      <c r="K19" s="60">
        <v>0.5</v>
      </c>
      <c r="L19" s="7" t="s">
        <v>335</v>
      </c>
      <c r="M19" s="7" t="s">
        <v>407</v>
      </c>
      <c r="N19" s="61">
        <v>0</v>
      </c>
      <c r="O19" t="str">
        <f t="shared" si="3"/>
        <v>RP5</v>
      </c>
      <c r="P19" s="26">
        <f t="shared" si="4"/>
        <v>1</v>
      </c>
      <c r="Q19" s="26">
        <f t="shared" si="5"/>
        <v>1</v>
      </c>
      <c r="R19" s="26">
        <f t="shared" si="6"/>
        <v>1</v>
      </c>
      <c r="S19" s="26">
        <f t="shared" si="7"/>
        <v>1</v>
      </c>
      <c r="T19" s="46">
        <f>IF('AAA Summary'!$L$35=4, RANK(H19,H$8:H$82,1)+COUNTIF($H$8:H19,H19)-1, IF('AAA Summary'!$L$35=3, RANK(G19,G$8:G$82,1)+COUNTIF($G$8:G19,G19)-1, IF('AAA Summary'!$L$35=2, RANK(F19,F$8:F$82,1)+COUNTIF($F$8:F19,F19)-1, IF('AAA Summary'!$L$35=1, RANK(E19,E$8:E$82,1)+COUNTIF($E$8:E19,E19)-1))))</f>
        <v>4</v>
      </c>
      <c r="U19" s="34">
        <f>IF('AAA Summary'!$L$35=4, H19, IF('AAA Summary'!$L$35=3, G19, IF('AAA Summary'!$L$35=2, F19, IF('AAA Summary'!$L$35=1, E19))))</f>
        <v>0.65</v>
      </c>
      <c r="V19">
        <f t="shared" si="1"/>
        <v>48</v>
      </c>
    </row>
    <row r="20" spans="1:22" x14ac:dyDescent="0.25">
      <c r="A20" t="s">
        <v>113</v>
      </c>
      <c r="B20" t="s">
        <v>114</v>
      </c>
      <c r="C20" s="7">
        <v>15</v>
      </c>
      <c r="D20" s="7">
        <v>8</v>
      </c>
      <c r="E20" s="60">
        <v>0.8</v>
      </c>
      <c r="F20" s="60">
        <v>1</v>
      </c>
      <c r="G20" s="60">
        <v>0.8</v>
      </c>
      <c r="H20" s="60">
        <v>0.73333329999999997</v>
      </c>
      <c r="I20" s="62">
        <f t="shared" si="2"/>
        <v>7</v>
      </c>
      <c r="J20" s="60">
        <v>0.53333333333333333</v>
      </c>
      <c r="K20" s="60">
        <v>0.46666666666666667</v>
      </c>
      <c r="L20" s="7" t="s">
        <v>252</v>
      </c>
      <c r="M20" s="7" t="s">
        <v>523</v>
      </c>
      <c r="N20" s="61">
        <v>0</v>
      </c>
      <c r="O20" t="str">
        <f t="shared" si="3"/>
        <v>RWH</v>
      </c>
      <c r="P20" s="26">
        <f t="shared" si="4"/>
        <v>1</v>
      </c>
      <c r="Q20" s="26">
        <f t="shared" si="5"/>
        <v>4</v>
      </c>
      <c r="R20" s="26">
        <f t="shared" si="6"/>
        <v>1</v>
      </c>
      <c r="S20" s="26">
        <f t="shared" si="7"/>
        <v>1</v>
      </c>
      <c r="T20" s="46">
        <f>IF('AAA Summary'!$L$35=4, RANK(H20,H$8:H$82,1)+COUNTIF($H$8:H20,H20)-1, IF('AAA Summary'!$L$35=3, RANK(G20,G$8:G$82,1)+COUNTIF($G$8:G20,G20)-1, IF('AAA Summary'!$L$35=2, RANK(F20,F$8:F$82,1)+COUNTIF($F$8:F20,F20)-1, IF('AAA Summary'!$L$35=1, RANK(E20,E$8:E$82,1)+COUNTIF($E$8:E20,E20)-1))))</f>
        <v>11</v>
      </c>
      <c r="U20" s="34">
        <f>IF('AAA Summary'!$L$35=4, H20, IF('AAA Summary'!$L$35=3, G20, IF('AAA Summary'!$L$35=2, F20, IF('AAA Summary'!$L$35=1, E20))))</f>
        <v>0.8</v>
      </c>
      <c r="V20">
        <f t="shared" si="1"/>
        <v>46</v>
      </c>
    </row>
    <row r="21" spans="1:22" x14ac:dyDescent="0.25">
      <c r="A21" t="s">
        <v>102</v>
      </c>
      <c r="B21" t="s">
        <v>103</v>
      </c>
      <c r="C21" s="7">
        <v>27</v>
      </c>
      <c r="D21" s="7">
        <v>21</v>
      </c>
      <c r="E21" s="60">
        <v>0.96296300000000001</v>
      </c>
      <c r="F21" s="60">
        <v>0.88888889999999998</v>
      </c>
      <c r="G21" s="60">
        <v>0.96</v>
      </c>
      <c r="H21" s="60">
        <v>0.88888889999999998</v>
      </c>
      <c r="I21" s="62">
        <f t="shared" si="2"/>
        <v>6</v>
      </c>
      <c r="J21" s="60">
        <v>0.77777777777777779</v>
      </c>
      <c r="K21" s="60">
        <v>0.22222222222222221</v>
      </c>
      <c r="L21" s="7" t="s">
        <v>220</v>
      </c>
      <c r="M21" s="7" t="s">
        <v>521</v>
      </c>
      <c r="N21" s="61">
        <v>0.72311000000000003</v>
      </c>
      <c r="O21" t="str">
        <f t="shared" si="3"/>
        <v>RVV</v>
      </c>
      <c r="P21" s="26">
        <f t="shared" si="4"/>
        <v>3</v>
      </c>
      <c r="Q21" s="26">
        <f t="shared" si="5"/>
        <v>1</v>
      </c>
      <c r="R21" s="26">
        <f t="shared" si="6"/>
        <v>2</v>
      </c>
      <c r="S21" s="26">
        <f t="shared" si="7"/>
        <v>2</v>
      </c>
      <c r="T21" s="46">
        <f>IF('AAA Summary'!$L$35=4, RANK(H21,H$8:H$82,1)+COUNTIF($H$8:H21,H21)-1, IF('AAA Summary'!$L$35=3, RANK(G21,G$8:G$82,1)+COUNTIF($G$8:G21,G21)-1, IF('AAA Summary'!$L$35=2, RANK(F21,F$8:F$82,1)+COUNTIF($F$8:F21,F21)-1, IF('AAA Summary'!$L$35=1, RANK(E21,E$8:E$82,1)+COUNTIF($E$8:E21,E21)-1))))</f>
        <v>38</v>
      </c>
      <c r="U21" s="34">
        <f>IF('AAA Summary'!$L$35=4, H21, IF('AAA Summary'!$L$35=3, G21, IF('AAA Summary'!$L$35=2, F21, IF('AAA Summary'!$L$35=1, E21))))</f>
        <v>0.96296300000000001</v>
      </c>
      <c r="V21">
        <f t="shared" si="1"/>
        <v>14</v>
      </c>
    </row>
    <row r="22" spans="1:22" x14ac:dyDescent="0.25">
      <c r="A22" t="s">
        <v>125</v>
      </c>
      <c r="B22" t="s">
        <v>126</v>
      </c>
      <c r="C22" s="7">
        <v>24</v>
      </c>
      <c r="D22" s="7">
        <v>15</v>
      </c>
      <c r="E22" s="60">
        <v>1</v>
      </c>
      <c r="F22" s="60">
        <v>1</v>
      </c>
      <c r="G22" s="60">
        <v>1</v>
      </c>
      <c r="H22" s="60">
        <v>0.95833330000000005</v>
      </c>
      <c r="I22" s="62">
        <f t="shared" si="2"/>
        <v>9</v>
      </c>
      <c r="J22" s="60">
        <v>0.625</v>
      </c>
      <c r="K22" s="60">
        <v>0.375</v>
      </c>
      <c r="L22" s="7" t="s">
        <v>252</v>
      </c>
      <c r="M22" s="7" t="s">
        <v>259</v>
      </c>
      <c r="N22" s="61">
        <v>0</v>
      </c>
      <c r="O22" t="str">
        <f t="shared" si="3"/>
        <v>RXR</v>
      </c>
      <c r="P22" s="26">
        <f t="shared" si="4"/>
        <v>4</v>
      </c>
      <c r="Q22" s="26">
        <f t="shared" si="5"/>
        <v>4</v>
      </c>
      <c r="R22" s="26">
        <f t="shared" si="6"/>
        <v>4</v>
      </c>
      <c r="S22" s="26">
        <f t="shared" si="7"/>
        <v>3</v>
      </c>
      <c r="T22" s="46">
        <f>IF('AAA Summary'!$L$35=4, RANK(H22,H$8:H$82,1)+COUNTIF($H$8:H22,H22)-1, IF('AAA Summary'!$L$35=3, RANK(G22,G$8:G$82,1)+COUNTIF($G$8:G22,G22)-1, IF('AAA Summary'!$L$35=2, RANK(F22,F$8:F$82,1)+COUNTIF($F$8:F22,F22)-1, IF('AAA Summary'!$L$35=1, RANK(E22,E$8:E$82,1)+COUNTIF($E$8:E22,E22)-1))))</f>
        <v>53</v>
      </c>
      <c r="U22" s="34">
        <f>IF('AAA Summary'!$L$35=4, H22, IF('AAA Summary'!$L$35=3, G22, IF('AAA Summary'!$L$35=2, F22, IF('AAA Summary'!$L$35=1, E22))))</f>
        <v>1</v>
      </c>
      <c r="V22">
        <f t="shared" si="1"/>
        <v>29</v>
      </c>
    </row>
    <row r="23" spans="1:22" x14ac:dyDescent="0.25">
      <c r="A23" t="s">
        <v>29</v>
      </c>
      <c r="B23" t="s">
        <v>170</v>
      </c>
      <c r="C23" s="7">
        <v>55</v>
      </c>
      <c r="D23" s="7">
        <v>44</v>
      </c>
      <c r="E23" s="60">
        <v>0.94545449999999998</v>
      </c>
      <c r="F23" s="60">
        <v>0.98181819999999997</v>
      </c>
      <c r="G23" s="60">
        <v>0.94339620000000002</v>
      </c>
      <c r="H23" s="60">
        <v>0.94545449999999998</v>
      </c>
      <c r="I23" s="62">
        <f t="shared" si="2"/>
        <v>11</v>
      </c>
      <c r="J23" s="60">
        <v>0.8</v>
      </c>
      <c r="K23" s="60">
        <v>0.2</v>
      </c>
      <c r="L23" s="7" t="s">
        <v>241</v>
      </c>
      <c r="M23" s="7" t="s">
        <v>427</v>
      </c>
      <c r="N23" s="61">
        <v>2.2672500000000002</v>
      </c>
      <c r="O23" t="str">
        <f t="shared" si="3"/>
        <v>RDE</v>
      </c>
      <c r="P23" s="26">
        <f t="shared" si="4"/>
        <v>2</v>
      </c>
      <c r="Q23" s="26">
        <f t="shared" si="5"/>
        <v>2</v>
      </c>
      <c r="R23" s="26">
        <f t="shared" si="6"/>
        <v>2</v>
      </c>
      <c r="S23" s="26">
        <f t="shared" si="7"/>
        <v>3</v>
      </c>
      <c r="T23" s="46">
        <f>IF('AAA Summary'!$L$35=4, RANK(H23,H$8:H$82,1)+COUNTIF($H$8:H23,H23)-1, IF('AAA Summary'!$L$35=3, RANK(G23,G$8:G$82,1)+COUNTIF($G$8:G23,G23)-1, IF('AAA Summary'!$L$35=2, RANK(F23,F$8:F$82,1)+COUNTIF($F$8:F23,F23)-1, IF('AAA Summary'!$L$35=1, RANK(E23,E$8:E$82,1)+COUNTIF($E$8:E23,E23)-1))))</f>
        <v>31</v>
      </c>
      <c r="U23" s="34">
        <f>IF('AAA Summary'!$L$35=4, H23, IF('AAA Summary'!$L$35=3, G23, IF('AAA Summary'!$L$35=2, F23, IF('AAA Summary'!$L$35=1, E23))))</f>
        <v>0.94545449999999998</v>
      </c>
      <c r="V23">
        <f t="shared" si="1"/>
        <v>9</v>
      </c>
    </row>
    <row r="24" spans="1:22" x14ac:dyDescent="0.25">
      <c r="A24" t="s">
        <v>30</v>
      </c>
      <c r="B24" t="s">
        <v>31</v>
      </c>
      <c r="C24" s="7">
        <v>45</v>
      </c>
      <c r="D24" s="7">
        <v>36</v>
      </c>
      <c r="E24" s="60">
        <v>1</v>
      </c>
      <c r="F24" s="60">
        <v>1</v>
      </c>
      <c r="G24" s="60">
        <v>1</v>
      </c>
      <c r="H24" s="60">
        <v>1</v>
      </c>
      <c r="I24" s="62">
        <f t="shared" si="2"/>
        <v>9</v>
      </c>
      <c r="J24" s="60">
        <v>0.8</v>
      </c>
      <c r="K24" s="60">
        <v>0.2</v>
      </c>
      <c r="L24" s="7" t="s">
        <v>227</v>
      </c>
      <c r="M24" s="7" t="s">
        <v>377</v>
      </c>
      <c r="N24" s="61">
        <v>0.73134999999999994</v>
      </c>
      <c r="O24" t="str">
        <f t="shared" si="3"/>
        <v>RDU</v>
      </c>
      <c r="P24" s="26">
        <f t="shared" si="4"/>
        <v>4</v>
      </c>
      <c r="Q24" s="26">
        <f t="shared" si="5"/>
        <v>4</v>
      </c>
      <c r="R24" s="26">
        <f t="shared" si="6"/>
        <v>4</v>
      </c>
      <c r="S24" s="26">
        <f t="shared" si="7"/>
        <v>4</v>
      </c>
      <c r="T24" s="46">
        <f>IF('AAA Summary'!$L$35=4, RANK(H24,H$8:H$82,1)+COUNTIF($H$8:H24,H24)-1, IF('AAA Summary'!$L$35=3, RANK(G24,G$8:G$82,1)+COUNTIF($G$8:G24,G24)-1, IF('AAA Summary'!$L$35=2, RANK(F24,F$8:F$82,1)+COUNTIF($F$8:F24,F24)-1, IF('AAA Summary'!$L$35=1, RANK(E24,E$8:E$82,1)+COUNTIF($E$8:E24,E24)-1))))</f>
        <v>54</v>
      </c>
      <c r="U24" s="34">
        <f>IF('AAA Summary'!$L$35=4, H24, IF('AAA Summary'!$L$35=3, G24, IF('AAA Summary'!$L$35=2, F24, IF('AAA Summary'!$L$35=1, E24))))</f>
        <v>1</v>
      </c>
      <c r="V24">
        <f t="shared" si="1"/>
        <v>9</v>
      </c>
    </row>
    <row r="25" spans="1:22" x14ac:dyDescent="0.25">
      <c r="A25" t="s">
        <v>93</v>
      </c>
      <c r="B25" t="s">
        <v>94</v>
      </c>
      <c r="C25" s="7">
        <v>51</v>
      </c>
      <c r="D25" s="7">
        <v>24</v>
      </c>
      <c r="E25" s="60">
        <v>0.92156859999999996</v>
      </c>
      <c r="F25" s="60">
        <v>1</v>
      </c>
      <c r="G25" s="60">
        <v>0.97777780000000003</v>
      </c>
      <c r="H25" s="60">
        <v>0.80392160000000001</v>
      </c>
      <c r="I25" s="62">
        <f t="shared" si="2"/>
        <v>27</v>
      </c>
      <c r="J25" s="60">
        <v>0.47058823529411764</v>
      </c>
      <c r="K25" s="60">
        <v>0.52941176470588236</v>
      </c>
      <c r="L25" s="7" t="s">
        <v>235</v>
      </c>
      <c r="M25" s="7" t="s">
        <v>239</v>
      </c>
      <c r="N25" s="61">
        <v>0.64961000000000002</v>
      </c>
      <c r="O25" t="str">
        <f t="shared" si="3"/>
        <v>RTE</v>
      </c>
      <c r="P25" s="26">
        <f t="shared" si="4"/>
        <v>2</v>
      </c>
      <c r="Q25" s="26">
        <f t="shared" si="5"/>
        <v>4</v>
      </c>
      <c r="R25" s="26">
        <f t="shared" si="6"/>
        <v>3</v>
      </c>
      <c r="S25" s="26">
        <f t="shared" si="7"/>
        <v>2</v>
      </c>
      <c r="T25" s="46">
        <f>IF('AAA Summary'!$L$35=4, RANK(H25,H$8:H$82,1)+COUNTIF($H$8:H25,H25)-1, IF('AAA Summary'!$L$35=3, RANK(G25,G$8:G$82,1)+COUNTIF($G$8:G25,G25)-1, IF('AAA Summary'!$L$35=2, RANK(F25,F$8:F$82,1)+COUNTIF($F$8:F25,F25)-1, IF('AAA Summary'!$L$35=1, RANK(E25,E$8:E$82,1)+COUNTIF($E$8:E25,E25)-1))))</f>
        <v>24</v>
      </c>
      <c r="U25" s="34">
        <f>IF('AAA Summary'!$L$35=4, H25, IF('AAA Summary'!$L$35=3, G25, IF('AAA Summary'!$L$35=2, F25, IF('AAA Summary'!$L$35=1, E25))))</f>
        <v>0.92156859999999996</v>
      </c>
      <c r="V25">
        <f t="shared" si="1"/>
        <v>53</v>
      </c>
    </row>
    <row r="26" spans="1:22" x14ac:dyDescent="0.25">
      <c r="A26" t="s">
        <v>50</v>
      </c>
      <c r="B26" t="s">
        <v>51</v>
      </c>
      <c r="C26" s="7">
        <v>62</v>
      </c>
      <c r="D26" s="7">
        <v>47</v>
      </c>
      <c r="E26" s="60">
        <v>0.59677420000000003</v>
      </c>
      <c r="F26" s="60">
        <v>0.96774190000000004</v>
      </c>
      <c r="G26" s="60">
        <v>0.6181818</v>
      </c>
      <c r="H26" s="60">
        <v>0.1129032</v>
      </c>
      <c r="I26" s="62">
        <f t="shared" si="2"/>
        <v>15</v>
      </c>
      <c r="J26" s="60">
        <v>0.75806451612903225</v>
      </c>
      <c r="K26" s="60">
        <v>0.24193548387096775</v>
      </c>
      <c r="L26" s="7" t="s">
        <v>249</v>
      </c>
      <c r="M26" s="7" t="s">
        <v>515</v>
      </c>
      <c r="N26" s="61">
        <v>0.37129000000000001</v>
      </c>
      <c r="O26" t="str">
        <f t="shared" si="3"/>
        <v>RJ1</v>
      </c>
      <c r="P26" s="26">
        <f t="shared" si="4"/>
        <v>1</v>
      </c>
      <c r="Q26" s="26">
        <f t="shared" si="5"/>
        <v>2</v>
      </c>
      <c r="R26" s="26">
        <f t="shared" si="6"/>
        <v>1</v>
      </c>
      <c r="S26" s="26">
        <f t="shared" si="7"/>
        <v>1</v>
      </c>
      <c r="T26" s="46">
        <f>IF('AAA Summary'!$L$35=4, RANK(H26,H$8:H$82,1)+COUNTIF($H$8:H26,H26)-1, IF('AAA Summary'!$L$35=3, RANK(G26,G$8:G$82,1)+COUNTIF($G$8:G26,G26)-1, IF('AAA Summary'!$L$35=2, RANK(F26,F$8:F$82,1)+COUNTIF($F$8:F26,F26)-1, IF('AAA Summary'!$L$35=1, RANK(E26,E$8:E$82,1)+COUNTIF($E$8:E26,E26)-1))))</f>
        <v>3</v>
      </c>
      <c r="U26" s="34">
        <f>IF('AAA Summary'!$L$35=4, H26, IF('AAA Summary'!$L$35=3, G26, IF('AAA Summary'!$L$35=2, F26, IF('AAA Summary'!$L$35=1, E26))))</f>
        <v>0.59677420000000003</v>
      </c>
      <c r="V26">
        <f t="shared" si="1"/>
        <v>17</v>
      </c>
    </row>
    <row r="27" spans="1:22" x14ac:dyDescent="0.25">
      <c r="A27" t="s">
        <v>106</v>
      </c>
      <c r="B27" t="s">
        <v>356</v>
      </c>
      <c r="C27" s="7">
        <v>23</v>
      </c>
      <c r="D27" s="7">
        <v>13</v>
      </c>
      <c r="E27" s="60">
        <v>1</v>
      </c>
      <c r="F27" s="60">
        <v>0</v>
      </c>
      <c r="G27" s="60">
        <v>1</v>
      </c>
      <c r="H27" s="60">
        <v>1</v>
      </c>
      <c r="I27" s="62">
        <f t="shared" si="2"/>
        <v>10</v>
      </c>
      <c r="J27" s="60">
        <v>0.56521739130434778</v>
      </c>
      <c r="K27" s="60">
        <v>0.43478260869565216</v>
      </c>
      <c r="L27" s="7" t="s">
        <v>236</v>
      </c>
      <c r="M27" s="7" t="s">
        <v>338</v>
      </c>
      <c r="N27" s="61">
        <v>0.89329000000000003</v>
      </c>
      <c r="O27" t="str">
        <f t="shared" si="3"/>
        <v>RWA</v>
      </c>
      <c r="P27" s="26">
        <f t="shared" si="4"/>
        <v>4</v>
      </c>
      <c r="Q27" s="26">
        <f t="shared" si="5"/>
        <v>1</v>
      </c>
      <c r="R27" s="26">
        <f t="shared" si="6"/>
        <v>4</v>
      </c>
      <c r="S27" s="26">
        <f t="shared" si="7"/>
        <v>4</v>
      </c>
      <c r="T27" s="46">
        <f>IF('AAA Summary'!$L$35=4, RANK(H27,H$8:H$82,1)+COUNTIF($H$8:H27,H27)-1, IF('AAA Summary'!$L$35=3, RANK(G27,G$8:G$82,1)+COUNTIF($G$8:G27,G27)-1, IF('AAA Summary'!$L$35=2, RANK(F27,F$8:F$82,1)+COUNTIF($F$8:F27,F27)-1, IF('AAA Summary'!$L$35=1, RANK(E27,E$8:E$82,1)+COUNTIF($E$8:E27,E27)-1))))</f>
        <v>55</v>
      </c>
      <c r="U27" s="34">
        <f>IF('AAA Summary'!$L$35=4, H27, IF('AAA Summary'!$L$35=3, G27, IF('AAA Summary'!$L$35=2, F27, IF('AAA Summary'!$L$35=1, E27))))</f>
        <v>1</v>
      </c>
      <c r="V27">
        <f t="shared" si="1"/>
        <v>39</v>
      </c>
    </row>
    <row r="28" spans="1:22" x14ac:dyDescent="0.25">
      <c r="A28" t="s">
        <v>129</v>
      </c>
      <c r="B28" t="s">
        <v>130</v>
      </c>
      <c r="C28" s="7">
        <v>27</v>
      </c>
      <c r="D28" s="7">
        <v>22</v>
      </c>
      <c r="E28" s="60">
        <v>0.48148150000000001</v>
      </c>
      <c r="F28" s="60">
        <v>1</v>
      </c>
      <c r="G28" s="60">
        <v>0.42857139999999999</v>
      </c>
      <c r="H28" s="60">
        <v>0.44444440000000002</v>
      </c>
      <c r="I28" s="62">
        <f t="shared" si="2"/>
        <v>5</v>
      </c>
      <c r="J28" s="60">
        <v>0.81481481481481477</v>
      </c>
      <c r="K28" s="60">
        <v>0.18518518518518517</v>
      </c>
      <c r="L28" s="7" t="s">
        <v>220</v>
      </c>
      <c r="M28" s="7" t="s">
        <v>524</v>
      </c>
      <c r="N28" s="61">
        <v>0</v>
      </c>
      <c r="O28" t="str">
        <f t="shared" si="3"/>
        <v>RYJ</v>
      </c>
      <c r="P28" s="26">
        <f t="shared" si="4"/>
        <v>1</v>
      </c>
      <c r="Q28" s="26">
        <f t="shared" si="5"/>
        <v>4</v>
      </c>
      <c r="R28" s="26">
        <f t="shared" si="6"/>
        <v>1</v>
      </c>
      <c r="S28" s="26">
        <f t="shared" si="7"/>
        <v>1</v>
      </c>
      <c r="T28" s="46">
        <f>IF('AAA Summary'!$L$35=4, RANK(H28,H$8:H$82,1)+COUNTIF($H$8:H28,H28)-1, IF('AAA Summary'!$L$35=3, RANK(G28,G$8:G$82,1)+COUNTIF($G$8:G28,G28)-1, IF('AAA Summary'!$L$35=2, RANK(F28,F$8:F$82,1)+COUNTIF($F$8:F28,F28)-1, IF('AAA Summary'!$L$35=1, RANK(E28,E$8:E$82,1)+COUNTIF($E$8:E28,E28)-1))))</f>
        <v>1</v>
      </c>
      <c r="U28" s="34">
        <f>IF('AAA Summary'!$L$35=4, H28, IF('AAA Summary'!$L$35=3, G28, IF('AAA Summary'!$L$35=2, F28, IF('AAA Summary'!$L$35=1, E28))))</f>
        <v>0.48148150000000001</v>
      </c>
      <c r="V28">
        <f t="shared" si="1"/>
        <v>8</v>
      </c>
    </row>
    <row r="29" spans="1:22" x14ac:dyDescent="0.25">
      <c r="A29" t="s">
        <v>58</v>
      </c>
      <c r="B29" t="s">
        <v>59</v>
      </c>
      <c r="C29" s="7">
        <v>0</v>
      </c>
      <c r="D29" s="7">
        <v>0</v>
      </c>
      <c r="E29" s="60" t="s">
        <v>276</v>
      </c>
      <c r="F29" s="60" t="s">
        <v>276</v>
      </c>
      <c r="G29" s="60" t="s">
        <v>276</v>
      </c>
      <c r="H29" s="60" t="s">
        <v>276</v>
      </c>
      <c r="I29" s="62">
        <f t="shared" si="2"/>
        <v>0</v>
      </c>
      <c r="J29" s="60" t="s">
        <v>276</v>
      </c>
      <c r="K29" s="60" t="s">
        <v>276</v>
      </c>
      <c r="L29" s="60" t="s">
        <v>276</v>
      </c>
      <c r="M29" s="60" t="s">
        <v>276</v>
      </c>
      <c r="N29" s="61">
        <v>7.7</v>
      </c>
      <c r="O29" t="str">
        <f t="shared" si="3"/>
        <v>RJZ</v>
      </c>
      <c r="P29" s="26"/>
      <c r="Q29" s="26"/>
      <c r="R29" s="26"/>
      <c r="S29" s="26"/>
      <c r="T29" s="46"/>
      <c r="U29" s="34"/>
    </row>
    <row r="30" spans="1:22" x14ac:dyDescent="0.25">
      <c r="A30" t="s">
        <v>123</v>
      </c>
      <c r="B30" t="s">
        <v>124</v>
      </c>
      <c r="C30" s="7">
        <v>56</v>
      </c>
      <c r="D30" s="7">
        <v>37</v>
      </c>
      <c r="E30" s="60">
        <v>0.98214290000000004</v>
      </c>
      <c r="F30" s="60">
        <v>0.98214290000000004</v>
      </c>
      <c r="G30" s="60">
        <v>0.98214290000000004</v>
      </c>
      <c r="H30" s="60">
        <v>0.98214290000000004</v>
      </c>
      <c r="I30" s="62">
        <f t="shared" si="2"/>
        <v>19</v>
      </c>
      <c r="J30" s="60">
        <v>0.6607142857142857</v>
      </c>
      <c r="K30" s="60">
        <v>0.3392857142857143</v>
      </c>
      <c r="L30" s="7" t="s">
        <v>235</v>
      </c>
      <c r="M30" s="7" t="s">
        <v>261</v>
      </c>
      <c r="N30" s="61">
        <v>0.46471000000000001</v>
      </c>
      <c r="O30" t="str">
        <f t="shared" si="3"/>
        <v>RXN</v>
      </c>
      <c r="P30" s="26">
        <f t="shared" si="4"/>
        <v>3</v>
      </c>
      <c r="Q30" s="26">
        <f t="shared" si="5"/>
        <v>2</v>
      </c>
      <c r="R30" s="26">
        <f t="shared" si="6"/>
        <v>3</v>
      </c>
      <c r="S30" s="26">
        <f t="shared" si="7"/>
        <v>4</v>
      </c>
      <c r="T30" s="46">
        <f>IF('AAA Summary'!$L$35=4, RANK(H30,H$8:H$82,1)+COUNTIF($H$8:H30,H30)-1, IF('AAA Summary'!$L$35=3, RANK(G30,G$8:G$82,1)+COUNTIF($G$8:G30,G30)-1, IF('AAA Summary'!$L$35=2, RANK(F30,F$8:F$82,1)+COUNTIF($F$8:F30,F30)-1, IF('AAA Summary'!$L$35=1, RANK(E30,E$8:E$82,1)+COUNTIF($E$8:E30,E30)-1))))</f>
        <v>46</v>
      </c>
      <c r="U30" s="34">
        <f>IF('AAA Summary'!$L$35=4, H30, IF('AAA Summary'!$L$35=3, G30, IF('AAA Summary'!$L$35=2, F30, IF('AAA Summary'!$L$35=1, E30))))</f>
        <v>0.98214290000000004</v>
      </c>
      <c r="V30">
        <f t="shared" si="1"/>
        <v>25</v>
      </c>
    </row>
    <row r="31" spans="1:22" x14ac:dyDescent="0.25">
      <c r="A31" t="s">
        <v>83</v>
      </c>
      <c r="B31" t="s">
        <v>84</v>
      </c>
      <c r="C31" s="7">
        <v>24</v>
      </c>
      <c r="D31" s="7">
        <v>14</v>
      </c>
      <c r="E31" s="60">
        <v>0.95833330000000005</v>
      </c>
      <c r="F31" s="60">
        <v>1</v>
      </c>
      <c r="G31" s="60">
        <v>0.95454539999999999</v>
      </c>
      <c r="H31" s="60">
        <v>0.875</v>
      </c>
      <c r="I31" s="62">
        <f t="shared" si="2"/>
        <v>10</v>
      </c>
      <c r="J31" s="60">
        <v>0.58333333333333337</v>
      </c>
      <c r="K31" s="60">
        <v>0.41666666666666669</v>
      </c>
      <c r="L31" s="7" t="s">
        <v>520</v>
      </c>
      <c r="M31" s="7" t="s">
        <v>261</v>
      </c>
      <c r="N31" s="61">
        <v>0.78718999999999995</v>
      </c>
      <c r="O31" t="str">
        <f t="shared" si="3"/>
        <v>RR8</v>
      </c>
      <c r="P31" s="26">
        <f t="shared" si="4"/>
        <v>3</v>
      </c>
      <c r="Q31" s="26">
        <f t="shared" si="5"/>
        <v>4</v>
      </c>
      <c r="R31" s="26">
        <f t="shared" si="6"/>
        <v>2</v>
      </c>
      <c r="S31" s="26">
        <f t="shared" si="7"/>
        <v>2</v>
      </c>
      <c r="T31" s="46">
        <f>IF('AAA Summary'!$L$35=4, RANK(H31,H$8:H$82,1)+COUNTIF($H$8:H31,H31)-1, IF('AAA Summary'!$L$35=3, RANK(G31,G$8:G$82,1)+COUNTIF($G$8:G31,G31)-1, IF('AAA Summary'!$L$35=2, RANK(F31,F$8:F$82,1)+COUNTIF($F$8:F31,F31)-1, IF('AAA Summary'!$L$35=1, RANK(E31,E$8:E$82,1)+COUNTIF($E$8:E31,E31)-1))))</f>
        <v>35</v>
      </c>
      <c r="U31" s="34">
        <f>IF('AAA Summary'!$L$35=4, H31, IF('AAA Summary'!$L$35=3, G31, IF('AAA Summary'!$L$35=2, F31, IF('AAA Summary'!$L$35=1, E31))))</f>
        <v>0.95833330000000005</v>
      </c>
      <c r="V31">
        <f t="shared" si="1"/>
        <v>35</v>
      </c>
    </row>
    <row r="32" spans="1:22" x14ac:dyDescent="0.25">
      <c r="A32" t="s">
        <v>505</v>
      </c>
      <c r="B32" t="s">
        <v>506</v>
      </c>
      <c r="C32" s="7">
        <v>8</v>
      </c>
      <c r="D32" s="7" t="s">
        <v>283</v>
      </c>
      <c r="E32" s="60">
        <v>0.875</v>
      </c>
      <c r="F32" s="60">
        <v>1</v>
      </c>
      <c r="G32" s="60">
        <v>0.875</v>
      </c>
      <c r="H32" s="60">
        <v>0.625</v>
      </c>
      <c r="I32" s="62" t="e">
        <f t="shared" si="2"/>
        <v>#VALUE!</v>
      </c>
      <c r="J32" s="60">
        <v>0.375</v>
      </c>
      <c r="K32" s="60">
        <v>0.625</v>
      </c>
      <c r="L32" s="7" t="s">
        <v>284</v>
      </c>
      <c r="M32" s="7" t="s">
        <v>507</v>
      </c>
      <c r="N32" s="61">
        <v>0</v>
      </c>
      <c r="O32" t="str">
        <f t="shared" si="3"/>
        <v>RBQ</v>
      </c>
      <c r="P32" s="26">
        <f t="shared" si="4"/>
        <v>2</v>
      </c>
      <c r="Q32" s="26">
        <f t="shared" si="5"/>
        <v>4</v>
      </c>
      <c r="R32" s="26">
        <f t="shared" si="6"/>
        <v>2</v>
      </c>
      <c r="S32" s="26">
        <f t="shared" si="7"/>
        <v>1</v>
      </c>
      <c r="T32" s="46">
        <f>IF('AAA Summary'!$L$35=4, RANK(H32,H$8:H$82,1)+COUNTIF($H$8:H32,H32)-1, IF('AAA Summary'!$L$35=3, RANK(G32,G$8:G$82,1)+COUNTIF($G$8:G32,G32)-1, IF('AAA Summary'!$L$35=2, RANK(F32,F$8:F$82,1)+COUNTIF($F$8:F32,F32)-1, IF('AAA Summary'!$L$35=1, RANK(E32,E$8:E$82,1)+COUNTIF($E$8:E32,E32)-1))))</f>
        <v>19</v>
      </c>
      <c r="U32" s="34">
        <f>IF('AAA Summary'!$L$35=4, H32, IF('AAA Summary'!$L$35=3, G32, IF('AAA Summary'!$L$35=2, F32, IF('AAA Summary'!$L$35=1, E32))))</f>
        <v>0.875</v>
      </c>
      <c r="V32">
        <f t="shared" si="1"/>
        <v>62</v>
      </c>
    </row>
    <row r="33" spans="1:22" x14ac:dyDescent="0.25">
      <c r="A33" t="s">
        <v>34</v>
      </c>
      <c r="B33" t="s">
        <v>357</v>
      </c>
      <c r="C33" s="7">
        <v>46</v>
      </c>
      <c r="D33" s="7">
        <v>21</v>
      </c>
      <c r="E33" s="60">
        <v>0.97826089999999999</v>
      </c>
      <c r="F33" s="60">
        <v>1</v>
      </c>
      <c r="G33" s="60">
        <v>1</v>
      </c>
      <c r="H33" s="60">
        <v>0.82608689999999996</v>
      </c>
      <c r="I33" s="62">
        <f t="shared" si="2"/>
        <v>25</v>
      </c>
      <c r="J33" s="60">
        <v>0.45652173913043476</v>
      </c>
      <c r="K33" s="60">
        <v>0.54347826086956519</v>
      </c>
      <c r="L33" s="7" t="s">
        <v>220</v>
      </c>
      <c r="M33" s="7" t="s">
        <v>187</v>
      </c>
      <c r="N33" s="61">
        <v>1.41933</v>
      </c>
      <c r="O33" t="str">
        <f t="shared" si="3"/>
        <v>REM</v>
      </c>
      <c r="P33" s="26">
        <f t="shared" si="4"/>
        <v>3</v>
      </c>
      <c r="Q33" s="26">
        <f t="shared" si="5"/>
        <v>4</v>
      </c>
      <c r="R33" s="26">
        <f t="shared" si="6"/>
        <v>4</v>
      </c>
      <c r="S33" s="26">
        <f t="shared" si="7"/>
        <v>2</v>
      </c>
      <c r="T33" s="46">
        <f>IF('AAA Summary'!$L$35=4, RANK(H33,H$8:H$82,1)+COUNTIF($H$8:H33,H33)-1, IF('AAA Summary'!$L$35=3, RANK(G33,G$8:G$82,1)+COUNTIF($G$8:G33,G33)-1, IF('AAA Summary'!$L$35=2, RANK(F33,F$8:F$82,1)+COUNTIF($F$8:F33,F33)-1, IF('AAA Summary'!$L$35=1, RANK(E33,E$8:E$82,1)+COUNTIF($E$8:E33,E33)-1))))</f>
        <v>44</v>
      </c>
      <c r="U33" s="34">
        <f>IF('AAA Summary'!$L$35=4, H33, IF('AAA Summary'!$L$35=3, G33, IF('AAA Summary'!$L$35=2, F33, IF('AAA Summary'!$L$35=1, E33))))</f>
        <v>0.97826089999999999</v>
      </c>
      <c r="V33">
        <f t="shared" si="1"/>
        <v>54</v>
      </c>
    </row>
    <row r="34" spans="1:22" x14ac:dyDescent="0.25">
      <c r="A34" t="s">
        <v>12</v>
      </c>
      <c r="B34" t="s">
        <v>358</v>
      </c>
      <c r="C34" s="7">
        <v>11</v>
      </c>
      <c r="D34" s="7">
        <v>11</v>
      </c>
      <c r="E34" s="60">
        <v>1</v>
      </c>
      <c r="F34" s="60">
        <v>1</v>
      </c>
      <c r="G34" s="60">
        <v>1</v>
      </c>
      <c r="H34" s="60">
        <v>0.90909090000000004</v>
      </c>
      <c r="I34" s="62">
        <f t="shared" si="2"/>
        <v>0</v>
      </c>
      <c r="J34" s="60">
        <v>1</v>
      </c>
      <c r="K34" s="60">
        <v>0</v>
      </c>
      <c r="L34" s="7" t="s">
        <v>227</v>
      </c>
      <c r="M34" s="7" t="s">
        <v>276</v>
      </c>
      <c r="N34" s="61">
        <v>1.68631</v>
      </c>
      <c r="O34" t="str">
        <f t="shared" si="3"/>
        <v>R1K</v>
      </c>
      <c r="P34" s="26">
        <f t="shared" si="4"/>
        <v>4</v>
      </c>
      <c r="Q34" s="26">
        <f t="shared" si="5"/>
        <v>4</v>
      </c>
      <c r="R34" s="26">
        <f t="shared" si="6"/>
        <v>4</v>
      </c>
      <c r="S34" s="26">
        <f t="shared" si="7"/>
        <v>2</v>
      </c>
      <c r="T34" s="46">
        <f>IF('AAA Summary'!$L$35=4, RANK(H34,H$8:H$82,1)+COUNTIF($H$8:H34,H34)-1, IF('AAA Summary'!$L$35=3, RANK(G34,G$8:G$82,1)+COUNTIF($G$8:G34,G34)-1, IF('AAA Summary'!$L$35=2, RANK(F34,F$8:F$82,1)+COUNTIF($F$8:F34,F34)-1, IF('AAA Summary'!$L$35=1, RANK(E34,E$8:E$82,1)+COUNTIF($E$8:E34,E34)-1))))</f>
        <v>56</v>
      </c>
      <c r="U34" s="34">
        <f>IF('AAA Summary'!$L$35=4, H34, IF('AAA Summary'!$L$35=3, G34, IF('AAA Summary'!$L$35=2, F34, IF('AAA Summary'!$L$35=1, E34))))</f>
        <v>1</v>
      </c>
      <c r="V34">
        <f t="shared" si="1"/>
        <v>1</v>
      </c>
    </row>
    <row r="35" spans="1:22" x14ac:dyDescent="0.25">
      <c r="A35" t="s">
        <v>8</v>
      </c>
      <c r="B35" t="s">
        <v>9</v>
      </c>
      <c r="C35" s="7">
        <v>55</v>
      </c>
      <c r="D35" s="7">
        <v>36</v>
      </c>
      <c r="E35" s="60">
        <v>0.9636363</v>
      </c>
      <c r="F35" s="60">
        <v>0.98181819999999997</v>
      </c>
      <c r="G35" s="60">
        <v>0.98039220000000005</v>
      </c>
      <c r="H35" s="60">
        <v>0.94545449999999998</v>
      </c>
      <c r="I35" s="62">
        <f t="shared" si="2"/>
        <v>19</v>
      </c>
      <c r="J35" s="60">
        <v>0.65454545454545454</v>
      </c>
      <c r="K35" s="60">
        <v>0.34545454545454546</v>
      </c>
      <c r="L35" s="7" t="s">
        <v>235</v>
      </c>
      <c r="M35" s="7" t="s">
        <v>263</v>
      </c>
      <c r="N35" s="61">
        <v>0.42995000000000005</v>
      </c>
      <c r="O35" t="str">
        <f t="shared" si="3"/>
        <v>R0A</v>
      </c>
      <c r="P35" s="26">
        <f t="shared" si="4"/>
        <v>3</v>
      </c>
      <c r="Q35" s="26">
        <f t="shared" si="5"/>
        <v>2</v>
      </c>
      <c r="R35" s="26">
        <f t="shared" si="6"/>
        <v>3</v>
      </c>
      <c r="S35" s="26">
        <f t="shared" si="7"/>
        <v>3</v>
      </c>
      <c r="T35" s="46">
        <f>IF('AAA Summary'!$L$35=4, RANK(H35,H$8:H$82,1)+COUNTIF($H$8:H35,H35)-1, IF('AAA Summary'!$L$35=3, RANK(G35,G$8:G$82,1)+COUNTIF($G$8:G35,G35)-1, IF('AAA Summary'!$L$35=2, RANK(F35,F$8:F$82,1)+COUNTIF($F$8:F35,F35)-1, IF('AAA Summary'!$L$35=1, RANK(E35,E$8:E$82,1)+COUNTIF($E$8:E35,E35)-1))))</f>
        <v>40</v>
      </c>
      <c r="U35" s="34">
        <f>IF('AAA Summary'!$L$35=4, H35, IF('AAA Summary'!$L$35=3, G35, IF('AAA Summary'!$L$35=2, F35, IF('AAA Summary'!$L$35=1, E35))))</f>
        <v>0.9636363</v>
      </c>
      <c r="V35">
        <f t="shared" si="1"/>
        <v>26</v>
      </c>
    </row>
    <row r="36" spans="1:22" x14ac:dyDescent="0.25">
      <c r="A36" t="s">
        <v>17</v>
      </c>
      <c r="B36" t="s">
        <v>504</v>
      </c>
      <c r="C36" s="7">
        <v>30</v>
      </c>
      <c r="D36" s="7">
        <v>25</v>
      </c>
      <c r="E36" s="60">
        <v>0.93333330000000003</v>
      </c>
      <c r="F36" s="60">
        <v>0.9</v>
      </c>
      <c r="G36" s="60">
        <v>0.91304350000000001</v>
      </c>
      <c r="H36" s="60">
        <v>0.83333330000000005</v>
      </c>
      <c r="I36" s="62">
        <f t="shared" si="2"/>
        <v>5</v>
      </c>
      <c r="J36" s="60">
        <v>0.83333333333333337</v>
      </c>
      <c r="K36" s="60">
        <v>0.16666666666666666</v>
      </c>
      <c r="L36" s="7" t="s">
        <v>237</v>
      </c>
      <c r="M36" s="7" t="s">
        <v>187</v>
      </c>
      <c r="N36" s="61">
        <v>2.1742699999999999</v>
      </c>
      <c r="O36" t="str">
        <f t="shared" si="3"/>
        <v>RAJ</v>
      </c>
      <c r="P36" s="26">
        <f t="shared" si="4"/>
        <v>2</v>
      </c>
      <c r="Q36" s="26">
        <f t="shared" si="5"/>
        <v>1</v>
      </c>
      <c r="R36" s="26">
        <f t="shared" si="6"/>
        <v>2</v>
      </c>
      <c r="S36" s="26">
        <f t="shared" si="7"/>
        <v>2</v>
      </c>
      <c r="T36" s="46">
        <f>IF('AAA Summary'!$L$35=4, RANK(H36,H$8:H$82,1)+COUNTIF($H$8:H36,H36)-1, IF('AAA Summary'!$L$35=3, RANK(G36,G$8:G$82,1)+COUNTIF($G$8:G36,G36)-1, IF('AAA Summary'!$L$35=2, RANK(F36,F$8:F$82,1)+COUNTIF($F$8:F36,F36)-1, IF('AAA Summary'!$L$35=1, RANK(E36,E$8:E$82,1)+COUNTIF($E$8:E36,E36)-1))))</f>
        <v>27</v>
      </c>
      <c r="U36" s="34">
        <f>IF('AAA Summary'!$L$35=4, H36, IF('AAA Summary'!$L$35=3, G36, IF('AAA Summary'!$L$35=2, F36, IF('AAA Summary'!$L$35=1, E36))))</f>
        <v>0.93333330000000003</v>
      </c>
      <c r="V36">
        <f t="shared" si="1"/>
        <v>7</v>
      </c>
    </row>
    <row r="37" spans="1:22" x14ac:dyDescent="0.25">
      <c r="A37" t="s">
        <v>91</v>
      </c>
      <c r="B37" t="s">
        <v>92</v>
      </c>
      <c r="C37" s="7">
        <v>60</v>
      </c>
      <c r="D37" s="7">
        <v>24</v>
      </c>
      <c r="E37" s="60">
        <v>0.93333330000000003</v>
      </c>
      <c r="F37" s="60">
        <v>0.96666660000000004</v>
      </c>
      <c r="G37" s="60">
        <v>0.96153840000000002</v>
      </c>
      <c r="H37" s="60">
        <v>0.91666669999999995</v>
      </c>
      <c r="I37" s="62">
        <f t="shared" si="2"/>
        <v>36</v>
      </c>
      <c r="J37" s="60">
        <v>0.4</v>
      </c>
      <c r="K37" s="60">
        <v>0.6</v>
      </c>
      <c r="L37" s="7" t="s">
        <v>189</v>
      </c>
      <c r="M37" s="7" t="s">
        <v>178</v>
      </c>
      <c r="N37" s="61">
        <v>2.91588</v>
      </c>
      <c r="O37" t="str">
        <f t="shared" si="3"/>
        <v>RTD</v>
      </c>
      <c r="P37" s="26">
        <f t="shared" si="4"/>
        <v>2</v>
      </c>
      <c r="Q37" s="26">
        <f t="shared" si="5"/>
        <v>2</v>
      </c>
      <c r="R37" s="26">
        <f t="shared" si="6"/>
        <v>3</v>
      </c>
      <c r="S37" s="26">
        <f t="shared" si="7"/>
        <v>2</v>
      </c>
      <c r="T37" s="46">
        <f>IF('AAA Summary'!$L$35=4, RANK(H37,H$8:H$82,1)+COUNTIF($H$8:H37,H37)-1, IF('AAA Summary'!$L$35=3, RANK(G37,G$8:G$82,1)+COUNTIF($G$8:G37,G37)-1, IF('AAA Summary'!$L$35=2, RANK(F37,F$8:F$82,1)+COUNTIF($F$8:F37,F37)-1, IF('AAA Summary'!$L$35=1, RANK(E37,E$8:E$82,1)+COUNTIF($E$8:E37,E37)-1))))</f>
        <v>28</v>
      </c>
      <c r="U37" s="34">
        <f>IF('AAA Summary'!$L$35=4, H37, IF('AAA Summary'!$L$35=3, G37, IF('AAA Summary'!$L$35=2, F37, IF('AAA Summary'!$L$35=1, E37))))</f>
        <v>0.93333330000000003</v>
      </c>
      <c r="V37">
        <f t="shared" si="1"/>
        <v>60</v>
      </c>
    </row>
    <row r="38" spans="1:22" x14ac:dyDescent="0.25">
      <c r="A38" t="s">
        <v>131</v>
      </c>
      <c r="B38" t="s">
        <v>132</v>
      </c>
      <c r="C38" s="7" t="s">
        <v>283</v>
      </c>
      <c r="D38" s="7">
        <v>0</v>
      </c>
      <c r="E38" s="60">
        <v>1</v>
      </c>
      <c r="F38" s="60">
        <v>1</v>
      </c>
      <c r="G38" s="60">
        <v>1</v>
      </c>
      <c r="H38" s="60">
        <v>1</v>
      </c>
      <c r="I38" s="62" t="e">
        <f t="shared" si="2"/>
        <v>#VALUE!</v>
      </c>
      <c r="J38" s="60">
        <v>0</v>
      </c>
      <c r="K38" s="60">
        <v>1</v>
      </c>
      <c r="L38" s="7" t="s">
        <v>276</v>
      </c>
      <c r="M38" s="7" t="s">
        <v>284</v>
      </c>
      <c r="N38" s="61">
        <v>0</v>
      </c>
      <c r="O38" t="str">
        <f t="shared" si="3"/>
        <v>SA999</v>
      </c>
      <c r="P38" s="26">
        <f t="shared" si="4"/>
        <v>4</v>
      </c>
      <c r="Q38" s="26">
        <f t="shared" si="5"/>
        <v>4</v>
      </c>
      <c r="R38" s="26">
        <f t="shared" si="6"/>
        <v>4</v>
      </c>
      <c r="S38" s="26">
        <f t="shared" si="7"/>
        <v>4</v>
      </c>
      <c r="T38" s="46">
        <f>IF('AAA Summary'!$L$35=4, RANK(H38,H$8:H$82,1)+COUNTIF($H$8:H38,H38)-1, IF('AAA Summary'!$L$35=3, RANK(G38,G$8:G$82,1)+COUNTIF($G$8:G38,G38)-1, IF('AAA Summary'!$L$35=2, RANK(F38,F$8:F$82,1)+COUNTIF($F$8:F38,F38)-1, IF('AAA Summary'!$L$35=1, RANK(E38,E$8:E$82,1)+COUNTIF($E$8:E38,E38)-1))))</f>
        <v>57</v>
      </c>
      <c r="U38" s="34">
        <f>IF('AAA Summary'!$L$35=4, H38, IF('AAA Summary'!$L$35=3, G38, IF('AAA Summary'!$L$35=2, F38, IF('AAA Summary'!$L$35=1, E38))))</f>
        <v>1</v>
      </c>
      <c r="V38">
        <f t="shared" si="1"/>
        <v>68</v>
      </c>
    </row>
    <row r="39" spans="1:22" x14ac:dyDescent="0.25">
      <c r="A39" t="s">
        <v>139</v>
      </c>
      <c r="B39" t="s">
        <v>140</v>
      </c>
      <c r="C39" s="7">
        <v>17</v>
      </c>
      <c r="D39" s="7">
        <v>12</v>
      </c>
      <c r="E39" s="60">
        <v>0.70588240000000002</v>
      </c>
      <c r="F39" s="60">
        <v>1</v>
      </c>
      <c r="G39" s="60">
        <v>0.70588240000000002</v>
      </c>
      <c r="H39" s="60">
        <v>0.70588240000000002</v>
      </c>
      <c r="I39" s="62">
        <f t="shared" si="2"/>
        <v>5</v>
      </c>
      <c r="J39" s="60">
        <v>0.70588235294117652</v>
      </c>
      <c r="K39" s="60">
        <v>0.29411764705882354</v>
      </c>
      <c r="L39" s="7" t="s">
        <v>188</v>
      </c>
      <c r="M39" s="7" t="s">
        <v>269</v>
      </c>
      <c r="N39" s="61">
        <v>0</v>
      </c>
      <c r="O39" t="str">
        <f t="shared" si="3"/>
        <v>SN999</v>
      </c>
      <c r="P39" s="26">
        <f t="shared" si="4"/>
        <v>1</v>
      </c>
      <c r="Q39" s="26">
        <f t="shared" si="5"/>
        <v>4</v>
      </c>
      <c r="R39" s="26">
        <f t="shared" si="6"/>
        <v>1</v>
      </c>
      <c r="S39" s="26">
        <f t="shared" si="7"/>
        <v>1</v>
      </c>
      <c r="T39" s="46">
        <f>IF('AAA Summary'!$L$35=4, RANK(H39,H$8:H$82,1)+COUNTIF($H$8:H39,H39)-1, IF('AAA Summary'!$L$35=3, RANK(G39,G$8:G$82,1)+COUNTIF($G$8:G39,G39)-1, IF('AAA Summary'!$L$35=2, RANK(F39,F$8:F$82,1)+COUNTIF($F$8:F39,F39)-1, IF('AAA Summary'!$L$35=1, RANK(E39,E$8:E$82,1)+COUNTIF($E$8:E39,E39)-1))))</f>
        <v>7</v>
      </c>
      <c r="U39" s="34">
        <f>IF('AAA Summary'!$L$35=4, H39, IF('AAA Summary'!$L$35=3, G39, IF('AAA Summary'!$L$35=2, F39, IF('AAA Summary'!$L$35=1, E39))))</f>
        <v>0.70588240000000002</v>
      </c>
      <c r="V39">
        <f t="shared" si="1"/>
        <v>22</v>
      </c>
    </row>
    <row r="40" spans="1:22" x14ac:dyDescent="0.25">
      <c r="A40" t="s">
        <v>133</v>
      </c>
      <c r="B40" t="s">
        <v>134</v>
      </c>
      <c r="C40" s="7">
        <v>12</v>
      </c>
      <c r="D40" s="7">
        <v>9</v>
      </c>
      <c r="E40" s="60">
        <v>1</v>
      </c>
      <c r="F40" s="60">
        <v>1</v>
      </c>
      <c r="G40" s="60">
        <v>1</v>
      </c>
      <c r="H40" s="60">
        <v>1</v>
      </c>
      <c r="I40" s="62">
        <f t="shared" si="2"/>
        <v>3</v>
      </c>
      <c r="J40" s="60">
        <v>0.75</v>
      </c>
      <c r="K40" s="60">
        <v>0.25</v>
      </c>
      <c r="L40" s="7" t="s">
        <v>235</v>
      </c>
      <c r="M40" s="7" t="s">
        <v>267</v>
      </c>
      <c r="N40" s="61">
        <v>1.50247</v>
      </c>
      <c r="O40" t="str">
        <f t="shared" si="3"/>
        <v>SG999</v>
      </c>
      <c r="P40" s="26">
        <f t="shared" si="4"/>
        <v>4</v>
      </c>
      <c r="Q40" s="26">
        <f t="shared" si="5"/>
        <v>4</v>
      </c>
      <c r="R40" s="26">
        <f t="shared" si="6"/>
        <v>4</v>
      </c>
      <c r="S40" s="26">
        <f t="shared" si="7"/>
        <v>4</v>
      </c>
      <c r="T40" s="46">
        <f>IF('AAA Summary'!$L$35=4, RANK(H40,H$8:H$82,1)+COUNTIF($H$8:H40,H40)-1, IF('AAA Summary'!$L$35=3, RANK(G40,G$8:G$82,1)+COUNTIF($G$8:G40,G40)-1, IF('AAA Summary'!$L$35=2, RANK(F40,F$8:F$82,1)+COUNTIF($F$8:F40,F40)-1, IF('AAA Summary'!$L$35=1, RANK(E40,E$8:E$82,1)+COUNTIF($E$8:E40,E40)-1))))</f>
        <v>58</v>
      </c>
      <c r="U40" s="34">
        <f>IF('AAA Summary'!$L$35=4, H40, IF('AAA Summary'!$L$35=3, G40, IF('AAA Summary'!$L$35=2, F40, IF('AAA Summary'!$L$35=1, E40))))</f>
        <v>1</v>
      </c>
      <c r="V40">
        <f t="shared" si="1"/>
        <v>18</v>
      </c>
    </row>
    <row r="41" spans="1:22" x14ac:dyDescent="0.25">
      <c r="A41" t="s">
        <v>135</v>
      </c>
      <c r="B41" t="s">
        <v>136</v>
      </c>
      <c r="C41" s="7">
        <v>16</v>
      </c>
      <c r="D41" s="7" t="s">
        <v>283</v>
      </c>
      <c r="E41" s="60">
        <v>1</v>
      </c>
      <c r="F41" s="60">
        <v>1</v>
      </c>
      <c r="G41" s="60">
        <v>1</v>
      </c>
      <c r="H41" s="60">
        <v>1</v>
      </c>
      <c r="I41" s="62" t="e">
        <f t="shared" si="2"/>
        <v>#VALUE!</v>
      </c>
      <c r="J41" s="60">
        <v>0.25</v>
      </c>
      <c r="K41" s="60">
        <v>0.75</v>
      </c>
      <c r="L41" s="7" t="s">
        <v>284</v>
      </c>
      <c r="M41" s="7" t="s">
        <v>527</v>
      </c>
      <c r="N41" s="61">
        <v>0</v>
      </c>
      <c r="O41" t="str">
        <f t="shared" si="3"/>
        <v>SH999</v>
      </c>
      <c r="P41" s="26">
        <f t="shared" si="4"/>
        <v>4</v>
      </c>
      <c r="Q41" s="26">
        <f t="shared" si="5"/>
        <v>4</v>
      </c>
      <c r="R41" s="26">
        <f t="shared" si="6"/>
        <v>4</v>
      </c>
      <c r="S41" s="26">
        <f t="shared" si="7"/>
        <v>4</v>
      </c>
      <c r="T41" s="46">
        <f>IF('AAA Summary'!$L$35=4, RANK(H41,H$8:H$82,1)+COUNTIF($H$8:H41,H41)-1, IF('AAA Summary'!$L$35=3, RANK(G41,G$8:G$82,1)+COUNTIF($G$8:G41,G41)-1, IF('AAA Summary'!$L$35=2, RANK(F41,F$8:F$82,1)+COUNTIF($F$8:F41,F41)-1, IF('AAA Summary'!$L$35=1, RANK(E41,E$8:E$82,1)+COUNTIF($E$8:E41,E41)-1))))</f>
        <v>59</v>
      </c>
      <c r="U41" s="34">
        <f>IF('AAA Summary'!$L$35=4, H41, IF('AAA Summary'!$L$35=3, G41, IF('AAA Summary'!$L$35=2, F41, IF('AAA Summary'!$L$35=1, E41))))</f>
        <v>1</v>
      </c>
      <c r="V41">
        <f t="shared" ref="V41:V72" si="8">RANK(J41,$J$8:$J$78)</f>
        <v>65</v>
      </c>
    </row>
    <row r="42" spans="1:22" x14ac:dyDescent="0.25">
      <c r="A42" t="s">
        <v>137</v>
      </c>
      <c r="B42" t="s">
        <v>138</v>
      </c>
      <c r="C42" s="7">
        <v>30</v>
      </c>
      <c r="D42" s="7">
        <v>21</v>
      </c>
      <c r="E42" s="60">
        <v>0.66666669999999995</v>
      </c>
      <c r="F42" s="60">
        <v>1</v>
      </c>
      <c r="G42" s="60">
        <v>0.71428570000000002</v>
      </c>
      <c r="H42" s="60">
        <v>0.6</v>
      </c>
      <c r="I42" s="62">
        <f t="shared" si="2"/>
        <v>9</v>
      </c>
      <c r="J42" s="60">
        <v>0.7</v>
      </c>
      <c r="K42" s="60">
        <v>0.3</v>
      </c>
      <c r="L42" s="7" t="s">
        <v>235</v>
      </c>
      <c r="M42" s="7" t="s">
        <v>528</v>
      </c>
      <c r="N42" s="61">
        <v>2.3461599999999998</v>
      </c>
      <c r="O42" t="str">
        <f t="shared" si="3"/>
        <v>SL999</v>
      </c>
      <c r="P42" s="26">
        <f t="shared" si="4"/>
        <v>1</v>
      </c>
      <c r="Q42" s="26">
        <f t="shared" si="5"/>
        <v>4</v>
      </c>
      <c r="R42" s="26">
        <f t="shared" si="6"/>
        <v>1</v>
      </c>
      <c r="S42" s="26">
        <f t="shared" si="7"/>
        <v>1</v>
      </c>
      <c r="T42" s="46">
        <f>IF('AAA Summary'!$L$35=4, RANK(H42,H$8:H$82,1)+COUNTIF($H$8:H42,H42)-1, IF('AAA Summary'!$L$35=3, RANK(G42,G$8:G$82,1)+COUNTIF($G$8:G42,G42)-1, IF('AAA Summary'!$L$35=2, RANK(F42,F$8:F$82,1)+COUNTIF($F$8:F42,F42)-1, IF('AAA Summary'!$L$35=1, RANK(E42,E$8:E$82,1)+COUNTIF($E$8:E42,E42)-1))))</f>
        <v>5</v>
      </c>
      <c r="U42" s="34">
        <f>IF('AAA Summary'!$L$35=4, H42, IF('AAA Summary'!$L$35=3, G42, IF('AAA Summary'!$L$35=2, F42, IF('AAA Summary'!$L$35=1, E42))))</f>
        <v>0.66666669999999995</v>
      </c>
      <c r="V42">
        <f t="shared" si="8"/>
        <v>23</v>
      </c>
    </row>
    <row r="43" spans="1:22" x14ac:dyDescent="0.25">
      <c r="A43" t="s">
        <v>141</v>
      </c>
      <c r="B43" t="s">
        <v>142</v>
      </c>
      <c r="C43" s="7">
        <v>12</v>
      </c>
      <c r="D43" s="7" t="s">
        <v>283</v>
      </c>
      <c r="E43" s="60">
        <v>1</v>
      </c>
      <c r="F43" s="60">
        <v>1</v>
      </c>
      <c r="G43" s="60">
        <v>1</v>
      </c>
      <c r="H43" s="60">
        <v>1</v>
      </c>
      <c r="I43" s="62" t="e">
        <f t="shared" si="2"/>
        <v>#VALUE!</v>
      </c>
      <c r="J43" s="60">
        <v>0.33333333333333331</v>
      </c>
      <c r="K43" s="60">
        <v>0.66666666666666663</v>
      </c>
      <c r="L43" s="7" t="s">
        <v>336</v>
      </c>
      <c r="M43" s="7" t="s">
        <v>284</v>
      </c>
      <c r="N43" s="61">
        <v>0</v>
      </c>
      <c r="O43" t="str">
        <f t="shared" si="3"/>
        <v>SS999</v>
      </c>
      <c r="P43" s="26">
        <f t="shared" si="4"/>
        <v>4</v>
      </c>
      <c r="Q43" s="26">
        <f t="shared" si="5"/>
        <v>4</v>
      </c>
      <c r="R43" s="26">
        <f t="shared" si="6"/>
        <v>4</v>
      </c>
      <c r="S43" s="26">
        <f t="shared" si="7"/>
        <v>4</v>
      </c>
      <c r="T43" s="46">
        <f>IF('AAA Summary'!$L$35=4, RANK(H43,H$8:H$82,1)+COUNTIF($H$8:H43,H43)-1, IF('AAA Summary'!$L$35=3, RANK(G43,G$8:G$82,1)+COUNTIF($G$8:G43,G43)-1, IF('AAA Summary'!$L$35=2, RANK(F43,F$8:F$82,1)+COUNTIF($F$8:F43,F43)-1, IF('AAA Summary'!$L$35=1, RANK(E43,E$8:E$82,1)+COUNTIF($E$8:E43,E43)-1))))</f>
        <v>60</v>
      </c>
      <c r="U43" s="34">
        <f>IF('AAA Summary'!$L$35=4, H43, IF('AAA Summary'!$L$35=3, G43, IF('AAA Summary'!$L$35=2, F43, IF('AAA Summary'!$L$35=1, E43))))</f>
        <v>1</v>
      </c>
      <c r="V43">
        <f t="shared" si="8"/>
        <v>63</v>
      </c>
    </row>
    <row r="44" spans="1:22" x14ac:dyDescent="0.25">
      <c r="A44" t="s">
        <v>143</v>
      </c>
      <c r="B44" t="s">
        <v>144</v>
      </c>
      <c r="C44" s="7" t="s">
        <v>283</v>
      </c>
      <c r="D44" s="7">
        <v>0</v>
      </c>
      <c r="E44" s="60">
        <v>1</v>
      </c>
      <c r="F44" s="60">
        <v>1</v>
      </c>
      <c r="G44" s="60">
        <v>1</v>
      </c>
      <c r="H44" s="60">
        <v>1</v>
      </c>
      <c r="I44" s="62" t="e">
        <f t="shared" si="2"/>
        <v>#VALUE!</v>
      </c>
      <c r="J44" s="60">
        <v>0</v>
      </c>
      <c r="K44" s="60">
        <v>1</v>
      </c>
      <c r="L44" s="7" t="s">
        <v>276</v>
      </c>
      <c r="M44" s="7" t="s">
        <v>284</v>
      </c>
      <c r="N44" s="61">
        <v>0</v>
      </c>
      <c r="O44" t="str">
        <f t="shared" si="3"/>
        <v>ST999</v>
      </c>
      <c r="P44" s="26">
        <f t="shared" si="4"/>
        <v>4</v>
      </c>
      <c r="Q44" s="26">
        <f t="shared" si="5"/>
        <v>4</v>
      </c>
      <c r="R44" s="26">
        <f t="shared" si="6"/>
        <v>4</v>
      </c>
      <c r="S44" s="26">
        <f t="shared" si="7"/>
        <v>4</v>
      </c>
      <c r="T44" s="46">
        <f>IF('AAA Summary'!$L$35=4, RANK(H44,H$8:H$82,1)+COUNTIF($H$8:H44,H44)-1, IF('AAA Summary'!$L$35=3, RANK(G44,G$8:G$82,1)+COUNTIF($G$8:G44,G44)-1, IF('AAA Summary'!$L$35=2, RANK(F44,F$8:F$82,1)+COUNTIF($F$8:F44,F44)-1, IF('AAA Summary'!$L$35=1, RANK(E44,E$8:E$82,1)+COUNTIF($E$8:E44,E44)-1))))</f>
        <v>61</v>
      </c>
      <c r="U44" s="34">
        <f>IF('AAA Summary'!$L$35=4, H44, IF('AAA Summary'!$L$35=3, G44, IF('AAA Summary'!$L$35=2, F44, IF('AAA Summary'!$L$35=1, E44))))</f>
        <v>1</v>
      </c>
      <c r="V44">
        <f t="shared" si="8"/>
        <v>68</v>
      </c>
    </row>
    <row r="45" spans="1:22" x14ac:dyDescent="0.25">
      <c r="A45" t="s">
        <v>65</v>
      </c>
      <c r="B45" t="s">
        <v>66</v>
      </c>
      <c r="C45" s="7">
        <v>51</v>
      </c>
      <c r="D45" s="7">
        <v>22</v>
      </c>
      <c r="E45" s="60">
        <v>0.96078430000000004</v>
      </c>
      <c r="F45" s="60">
        <v>0.94117649999999997</v>
      </c>
      <c r="G45" s="60">
        <v>0.95918369999999997</v>
      </c>
      <c r="H45" s="60">
        <v>0.92156859999999996</v>
      </c>
      <c r="I45" s="62">
        <f t="shared" si="2"/>
        <v>29</v>
      </c>
      <c r="J45" s="60">
        <v>0.43137254901960786</v>
      </c>
      <c r="K45" s="60">
        <v>0.56862745098039214</v>
      </c>
      <c r="L45" s="7" t="s">
        <v>241</v>
      </c>
      <c r="M45" s="7" t="s">
        <v>517</v>
      </c>
      <c r="N45" s="61">
        <v>1.8256499999999998</v>
      </c>
      <c r="O45" t="str">
        <f t="shared" si="3"/>
        <v>RM1</v>
      </c>
      <c r="P45" s="26">
        <f t="shared" si="4"/>
        <v>3</v>
      </c>
      <c r="Q45" s="26">
        <f t="shared" si="5"/>
        <v>1</v>
      </c>
      <c r="R45" s="26">
        <f t="shared" si="6"/>
        <v>2</v>
      </c>
      <c r="S45" s="26">
        <f t="shared" si="7"/>
        <v>2</v>
      </c>
      <c r="T45" s="46">
        <f>IF('AAA Summary'!$L$35=4, RANK(H45,H$8:H$82,1)+COUNTIF($H$8:H45,H45)-1, IF('AAA Summary'!$L$35=3, RANK(G45,G$8:G$82,1)+COUNTIF($G$8:G45,G45)-1, IF('AAA Summary'!$L$35=2, RANK(F45,F$8:F$82,1)+COUNTIF($F$8:F45,F45)-1, IF('AAA Summary'!$L$35=1, RANK(E45,E$8:E$82,1)+COUNTIF($E$8:E45,E45)-1))))</f>
        <v>37</v>
      </c>
      <c r="U45" s="34">
        <f>IF('AAA Summary'!$L$35=4, H45, IF('AAA Summary'!$L$35=3, G45, IF('AAA Summary'!$L$35=2, F45, IF('AAA Summary'!$L$35=1, E45))))</f>
        <v>0.96078430000000004</v>
      </c>
      <c r="V45">
        <f t="shared" si="8"/>
        <v>56</v>
      </c>
    </row>
    <row r="46" spans="1:22" x14ac:dyDescent="0.25">
      <c r="A46" t="s">
        <v>100</v>
      </c>
      <c r="B46" t="s">
        <v>101</v>
      </c>
      <c r="C46" s="7">
        <v>40</v>
      </c>
      <c r="D46" s="7">
        <v>24</v>
      </c>
      <c r="E46" s="60">
        <v>0.95</v>
      </c>
      <c r="F46" s="60">
        <v>1</v>
      </c>
      <c r="G46" s="60">
        <v>0.97297299999999998</v>
      </c>
      <c r="H46" s="60">
        <v>0.875</v>
      </c>
      <c r="I46" s="62">
        <f t="shared" si="2"/>
        <v>16</v>
      </c>
      <c r="J46" s="60">
        <v>0.6</v>
      </c>
      <c r="K46" s="60">
        <v>0.4</v>
      </c>
      <c r="L46" s="7" t="s">
        <v>237</v>
      </c>
      <c r="M46" s="7" t="s">
        <v>186</v>
      </c>
      <c r="N46" s="61">
        <v>2.8254999999999999</v>
      </c>
      <c r="O46" t="str">
        <f t="shared" si="3"/>
        <v>RVJ</v>
      </c>
      <c r="P46" s="26">
        <f t="shared" si="4"/>
        <v>2</v>
      </c>
      <c r="Q46" s="26">
        <f t="shared" si="5"/>
        <v>4</v>
      </c>
      <c r="R46" s="26">
        <f t="shared" si="6"/>
        <v>3</v>
      </c>
      <c r="S46" s="26">
        <f t="shared" si="7"/>
        <v>2</v>
      </c>
      <c r="T46" s="46">
        <f>IF('AAA Summary'!$L$35=4, RANK(H46,H$8:H$82,1)+COUNTIF($H$8:H46,H46)-1, IF('AAA Summary'!$L$35=3, RANK(G46,G$8:G$82,1)+COUNTIF($G$8:G46,G46)-1, IF('AAA Summary'!$L$35=2, RANK(F46,F$8:F$82,1)+COUNTIF($F$8:F46,F46)-1, IF('AAA Summary'!$L$35=1, RANK(E46,E$8:E$82,1)+COUNTIF($E$8:E46,E46)-1))))</f>
        <v>32</v>
      </c>
      <c r="U46" s="34">
        <f>IF('AAA Summary'!$L$35=4, H46, IF('AAA Summary'!$L$35=3, G46, IF('AAA Summary'!$L$35=2, F46, IF('AAA Summary'!$L$35=1, E46))))</f>
        <v>0.95</v>
      </c>
      <c r="V46">
        <f t="shared" si="8"/>
        <v>32</v>
      </c>
    </row>
    <row r="47" spans="1:22" x14ac:dyDescent="0.25">
      <c r="A47" s="7" t="s">
        <v>626</v>
      </c>
      <c r="B47" t="s">
        <v>518</v>
      </c>
      <c r="C47" s="7">
        <v>21</v>
      </c>
      <c r="D47" s="7">
        <v>10</v>
      </c>
      <c r="E47" s="60">
        <v>0.85714290000000004</v>
      </c>
      <c r="F47" s="60">
        <v>1</v>
      </c>
      <c r="G47" s="60">
        <v>0.9375</v>
      </c>
      <c r="H47" s="60">
        <v>0.76190480000000005</v>
      </c>
      <c r="I47" s="62">
        <f t="shared" si="2"/>
        <v>11</v>
      </c>
      <c r="J47" s="60">
        <v>0.47619047619047616</v>
      </c>
      <c r="K47" s="60">
        <v>0.52380952380952384</v>
      </c>
      <c r="L47" s="7" t="s">
        <v>241</v>
      </c>
      <c r="M47" s="7" t="s">
        <v>182</v>
      </c>
      <c r="N47" s="61">
        <v>1.9928399999999999</v>
      </c>
      <c r="O47" t="str">
        <f t="shared" si="3"/>
        <v>RNN</v>
      </c>
      <c r="P47" s="26">
        <f t="shared" si="4"/>
        <v>1</v>
      </c>
      <c r="Q47" s="26">
        <f t="shared" si="5"/>
        <v>4</v>
      </c>
      <c r="R47" s="26">
        <f t="shared" si="6"/>
        <v>2</v>
      </c>
      <c r="S47" s="26">
        <f t="shared" si="7"/>
        <v>1</v>
      </c>
      <c r="T47" s="46">
        <f>IF('AAA Summary'!$L$35=4, RANK(H47,H$8:H$82,1)+COUNTIF($H$8:H47,H47)-1, IF('AAA Summary'!$L$35=3, RANK(G47,G$8:G$82,1)+COUNTIF($G$8:G47,G47)-1, IF('AAA Summary'!$L$35=2, RANK(F47,F$8:F$82,1)+COUNTIF($F$8:F47,F47)-1, IF('AAA Summary'!$L$35=1, RANK(E47,E$8:E$82,1)+COUNTIF($E$8:E47,E47)-1))))</f>
        <v>17</v>
      </c>
      <c r="U47" s="34">
        <f>IF('AAA Summary'!$L$35=4, H47, IF('AAA Summary'!$L$35=3, G47, IF('AAA Summary'!$L$35=2, F47, IF('AAA Summary'!$L$35=1, E47))))</f>
        <v>0.85714290000000004</v>
      </c>
      <c r="V47">
        <f t="shared" si="8"/>
        <v>51</v>
      </c>
    </row>
    <row r="48" spans="1:22" x14ac:dyDescent="0.25">
      <c r="A48" t="s">
        <v>72</v>
      </c>
      <c r="B48" t="s">
        <v>73</v>
      </c>
      <c r="C48" s="7">
        <v>24</v>
      </c>
      <c r="D48" s="7">
        <v>18</v>
      </c>
      <c r="E48" s="60">
        <v>0.83333330000000005</v>
      </c>
      <c r="F48" s="60">
        <v>1</v>
      </c>
      <c r="G48" s="60">
        <v>0.82608689999999996</v>
      </c>
      <c r="H48" s="60">
        <v>0.79166669999999995</v>
      </c>
      <c r="I48" s="62">
        <f t="shared" si="2"/>
        <v>6</v>
      </c>
      <c r="J48" s="60">
        <v>0.75</v>
      </c>
      <c r="K48" s="60">
        <v>0.25</v>
      </c>
      <c r="L48" s="7" t="s">
        <v>237</v>
      </c>
      <c r="M48" s="7" t="s">
        <v>182</v>
      </c>
      <c r="N48" s="61">
        <v>4.3647200000000002</v>
      </c>
      <c r="O48" t="str">
        <f t="shared" si="3"/>
        <v>RNS</v>
      </c>
      <c r="P48" s="26">
        <f t="shared" si="4"/>
        <v>1</v>
      </c>
      <c r="Q48" s="26">
        <f t="shared" si="5"/>
        <v>4</v>
      </c>
      <c r="R48" s="26">
        <f t="shared" si="6"/>
        <v>1</v>
      </c>
      <c r="S48" s="26">
        <f t="shared" si="7"/>
        <v>1</v>
      </c>
      <c r="T48" s="46">
        <f>IF('AAA Summary'!$L$35=4, RANK(H48,H$8:H$82,1)+COUNTIF($H$8:H48,H48)-1, IF('AAA Summary'!$L$35=3, RANK(G48,G$8:G$82,1)+COUNTIF($G$8:G48,G48)-1, IF('AAA Summary'!$L$35=2, RANK(F48,F$8:F$82,1)+COUNTIF($F$8:F48,F48)-1, IF('AAA Summary'!$L$35=1, RANK(E48,E$8:E$82,1)+COUNTIF($E$8:E48,E48)-1))))</f>
        <v>15</v>
      </c>
      <c r="U48" s="34">
        <f>IF('AAA Summary'!$L$35=4, H48, IF('AAA Summary'!$L$35=3, G48, IF('AAA Summary'!$L$35=2, F48, IF('AAA Summary'!$L$35=1, E48))))</f>
        <v>0.83333330000000005</v>
      </c>
      <c r="V48">
        <f t="shared" si="8"/>
        <v>18</v>
      </c>
    </row>
    <row r="49" spans="1:22" x14ac:dyDescent="0.25">
      <c r="A49" t="s">
        <v>119</v>
      </c>
      <c r="B49" t="s">
        <v>120</v>
      </c>
      <c r="C49" s="7">
        <v>42</v>
      </c>
      <c r="D49" s="7">
        <v>21</v>
      </c>
      <c r="E49" s="60">
        <v>0.66666669999999995</v>
      </c>
      <c r="F49" s="60">
        <v>0.97619040000000001</v>
      </c>
      <c r="G49" s="60">
        <v>0.68421050000000005</v>
      </c>
      <c r="H49" s="60">
        <v>0.66666669999999995</v>
      </c>
      <c r="I49" s="62">
        <f t="shared" si="2"/>
        <v>21</v>
      </c>
      <c r="J49" s="60">
        <v>0.5</v>
      </c>
      <c r="K49" s="60">
        <v>0.5</v>
      </c>
      <c r="L49" s="7" t="s">
        <v>235</v>
      </c>
      <c r="M49" s="7" t="s">
        <v>371</v>
      </c>
      <c r="N49" s="61">
        <v>1.99312</v>
      </c>
      <c r="O49" t="str">
        <f t="shared" si="3"/>
        <v>RX1</v>
      </c>
      <c r="P49" s="26">
        <f t="shared" si="4"/>
        <v>1</v>
      </c>
      <c r="Q49" s="26">
        <f t="shared" si="5"/>
        <v>2</v>
      </c>
      <c r="R49" s="26">
        <f t="shared" si="6"/>
        <v>1</v>
      </c>
      <c r="S49" s="26">
        <f t="shared" si="7"/>
        <v>1</v>
      </c>
      <c r="T49" s="46">
        <f>IF('AAA Summary'!$L$35=4, RANK(H49,H$8:H$82,1)+COUNTIF($H$8:H49,H49)-1, IF('AAA Summary'!$L$35=3, RANK(G49,G$8:G$82,1)+COUNTIF($G$8:G49,G49)-1, IF('AAA Summary'!$L$35=2, RANK(F49,F$8:F$82,1)+COUNTIF($F$8:F49,F49)-1, IF('AAA Summary'!$L$35=1, RANK(E49,E$8:E$82,1)+COUNTIF($E$8:E49,E49)-1))))</f>
        <v>6</v>
      </c>
      <c r="U49" s="34">
        <f>IF('AAA Summary'!$L$35=4, H49, IF('AAA Summary'!$L$35=3, G49, IF('AAA Summary'!$L$35=2, F49, IF('AAA Summary'!$L$35=1, E49))))</f>
        <v>0.66666669999999995</v>
      </c>
      <c r="V49">
        <f t="shared" si="8"/>
        <v>48</v>
      </c>
    </row>
    <row r="50" spans="1:22" x14ac:dyDescent="0.25">
      <c r="A50" t="s">
        <v>96</v>
      </c>
      <c r="B50" t="s">
        <v>360</v>
      </c>
      <c r="C50" s="7">
        <v>45</v>
      </c>
      <c r="D50" s="7">
        <v>17</v>
      </c>
      <c r="E50" s="60">
        <v>0.95555559999999995</v>
      </c>
      <c r="F50" s="60">
        <v>1</v>
      </c>
      <c r="G50" s="60">
        <v>0.95238100000000003</v>
      </c>
      <c r="H50" s="60">
        <v>0.93333330000000003</v>
      </c>
      <c r="I50" s="62">
        <f t="shared" si="2"/>
        <v>28</v>
      </c>
      <c r="J50" s="60">
        <v>0.37777777777777777</v>
      </c>
      <c r="K50" s="60">
        <v>0.62222222222222223</v>
      </c>
      <c r="L50" s="7" t="s">
        <v>235</v>
      </c>
      <c r="M50" s="7" t="s">
        <v>261</v>
      </c>
      <c r="N50" s="61">
        <v>0</v>
      </c>
      <c r="O50" t="str">
        <f t="shared" si="3"/>
        <v>RTH</v>
      </c>
      <c r="P50" s="26">
        <f t="shared" si="4"/>
        <v>2</v>
      </c>
      <c r="Q50" s="26">
        <f t="shared" si="5"/>
        <v>4</v>
      </c>
      <c r="R50" s="26">
        <f t="shared" si="6"/>
        <v>2</v>
      </c>
      <c r="S50" s="26">
        <f t="shared" si="7"/>
        <v>3</v>
      </c>
      <c r="T50" s="46">
        <f>IF('AAA Summary'!$L$35=4, RANK(H50,H$8:H$82,1)+COUNTIF($H$8:H50,H50)-1, IF('AAA Summary'!$L$35=3, RANK(G50,G$8:G$82,1)+COUNTIF($G$8:G50,G50)-1, IF('AAA Summary'!$L$35=2, RANK(F50,F$8:F$82,1)+COUNTIF($F$8:F50,F50)-1, IF('AAA Summary'!$L$35=1, RANK(E50,E$8:E$82,1)+COUNTIF($E$8:E50,E50)-1))))</f>
        <v>33</v>
      </c>
      <c r="U50" s="34">
        <f>IF('AAA Summary'!$L$35=4, H50, IF('AAA Summary'!$L$35=3, G50, IF('AAA Summary'!$L$35=2, F50, IF('AAA Summary'!$L$35=1, E50))))</f>
        <v>0.95555559999999995</v>
      </c>
      <c r="V50">
        <f t="shared" si="8"/>
        <v>61</v>
      </c>
    </row>
    <row r="51" spans="1:22" x14ac:dyDescent="0.25">
      <c r="A51" s="7" t="s">
        <v>622</v>
      </c>
      <c r="B51" s="95" t="s">
        <v>623</v>
      </c>
      <c r="C51" s="7">
        <v>45</v>
      </c>
      <c r="D51" s="7">
        <v>35</v>
      </c>
      <c r="E51" s="60">
        <v>1</v>
      </c>
      <c r="F51" s="60">
        <v>1</v>
      </c>
      <c r="G51" s="60">
        <v>1</v>
      </c>
      <c r="H51" s="60">
        <v>1</v>
      </c>
      <c r="I51" s="62">
        <f t="shared" si="2"/>
        <v>10</v>
      </c>
      <c r="J51" s="60">
        <v>0.77777777777777779</v>
      </c>
      <c r="K51" s="60">
        <v>0.22222222222222221</v>
      </c>
      <c r="L51" s="7" t="s">
        <v>189</v>
      </c>
      <c r="M51" s="7" t="s">
        <v>262</v>
      </c>
      <c r="N51" s="61">
        <v>0.59163999999999994</v>
      </c>
      <c r="O51" t="str">
        <f t="shared" si="3"/>
        <v>RM3</v>
      </c>
      <c r="P51" s="26">
        <f t="shared" si="4"/>
        <v>4</v>
      </c>
      <c r="Q51" s="26">
        <f t="shared" si="5"/>
        <v>4</v>
      </c>
      <c r="R51" s="26">
        <f t="shared" si="6"/>
        <v>4</v>
      </c>
      <c r="S51" s="26">
        <f t="shared" si="7"/>
        <v>4</v>
      </c>
      <c r="T51" s="46">
        <f>IF('AAA Summary'!$L$35=4, RANK(H51,H$8:H$82,1)+COUNTIF($H$8:H51,H51)-1, IF('AAA Summary'!$L$35=3, RANK(G51,G$8:G$82,1)+COUNTIF($G$8:G51,G51)-1, IF('AAA Summary'!$L$35=2, RANK(F51,F$8:F$82,1)+COUNTIF($F$8:F51,F51)-1, IF('AAA Summary'!$L$35=1, RANK(E51,E$8:E$82,1)+COUNTIF($E$8:E51,E51)-1))))</f>
        <v>62</v>
      </c>
      <c r="U51" s="34">
        <f>IF('AAA Summary'!$L$35=4, H51, IF('AAA Summary'!$L$35=3, G51, IF('AAA Summary'!$L$35=2, F51, IF('AAA Summary'!$L$35=1, E51))))</f>
        <v>1</v>
      </c>
      <c r="V51">
        <f t="shared" si="8"/>
        <v>14</v>
      </c>
    </row>
    <row r="52" spans="1:22" x14ac:dyDescent="0.25">
      <c r="A52" t="s">
        <v>79</v>
      </c>
      <c r="B52" t="s">
        <v>80</v>
      </c>
      <c r="C52" s="7">
        <v>11</v>
      </c>
      <c r="D52" s="7">
        <v>6</v>
      </c>
      <c r="E52" s="60">
        <v>1</v>
      </c>
      <c r="F52" s="60">
        <v>0.90909090000000004</v>
      </c>
      <c r="G52" s="60">
        <v>1</v>
      </c>
      <c r="H52" s="60">
        <v>1</v>
      </c>
      <c r="I52" s="62">
        <f t="shared" si="2"/>
        <v>5</v>
      </c>
      <c r="J52" s="60">
        <v>0.54545454545454541</v>
      </c>
      <c r="K52" s="60">
        <v>0.45454545454545453</v>
      </c>
      <c r="L52" s="7" t="s">
        <v>230</v>
      </c>
      <c r="M52" s="7" t="s">
        <v>519</v>
      </c>
      <c r="N52" s="61">
        <v>0</v>
      </c>
      <c r="O52" t="str">
        <f t="shared" si="3"/>
        <v>RQW</v>
      </c>
      <c r="P52" s="26">
        <f t="shared" si="4"/>
        <v>4</v>
      </c>
      <c r="Q52" s="26">
        <f t="shared" si="5"/>
        <v>1</v>
      </c>
      <c r="R52" s="26">
        <f t="shared" si="6"/>
        <v>4</v>
      </c>
      <c r="S52" s="26">
        <f t="shared" si="7"/>
        <v>4</v>
      </c>
      <c r="T52" s="46">
        <f>IF('AAA Summary'!$L$35=4, RANK(H52,H$8:H$82,1)+COUNTIF($H$8:H52,H52)-1, IF('AAA Summary'!$L$35=3, RANK(G52,G$8:G$82,1)+COUNTIF($G$8:G52,G52)-1, IF('AAA Summary'!$L$35=2, RANK(F52,F$8:F$82,1)+COUNTIF($F$8:F52,F52)-1, IF('AAA Summary'!$L$35=1, RANK(E52,E$8:E$82,1)+COUNTIF($E$8:E52,E52)-1))))</f>
        <v>63</v>
      </c>
      <c r="U52" s="34">
        <f>IF('AAA Summary'!$L$35=4, H52, IF('AAA Summary'!$L$35=3, G52, IF('AAA Summary'!$L$35=2, F52, IF('AAA Summary'!$L$35=1, E52))))</f>
        <v>1</v>
      </c>
      <c r="V52">
        <f t="shared" si="8"/>
        <v>43</v>
      </c>
    </row>
    <row r="53" spans="1:22" x14ac:dyDescent="0.25">
      <c r="A53" t="s">
        <v>89</v>
      </c>
      <c r="B53" t="s">
        <v>90</v>
      </c>
      <c r="C53" s="7" t="s">
        <v>283</v>
      </c>
      <c r="D53" s="7" t="s">
        <v>283</v>
      </c>
      <c r="E53" s="60">
        <v>1</v>
      </c>
      <c r="F53" s="60">
        <v>1</v>
      </c>
      <c r="G53" s="60">
        <v>1</v>
      </c>
      <c r="H53" s="60">
        <v>1</v>
      </c>
      <c r="I53" s="62" t="e">
        <f t="shared" si="2"/>
        <v>#VALUE!</v>
      </c>
      <c r="J53" s="60">
        <v>1</v>
      </c>
      <c r="K53" s="60">
        <v>0</v>
      </c>
      <c r="L53" s="7" t="s">
        <v>284</v>
      </c>
      <c r="M53" s="7" t="s">
        <v>276</v>
      </c>
      <c r="N53" s="61">
        <v>0</v>
      </c>
      <c r="O53" t="str">
        <f t="shared" si="3"/>
        <v>RT3</v>
      </c>
      <c r="P53" s="26">
        <f t="shared" si="4"/>
        <v>4</v>
      </c>
      <c r="Q53" s="26">
        <f t="shared" si="5"/>
        <v>4</v>
      </c>
      <c r="R53" s="26">
        <f t="shared" si="6"/>
        <v>4</v>
      </c>
      <c r="S53" s="26">
        <f t="shared" si="7"/>
        <v>4</v>
      </c>
      <c r="T53" s="46">
        <f>IF('AAA Summary'!$L$35=4, RANK(H53,H$8:H$82,1)+COUNTIF($H$8:H53,H53)-1, IF('AAA Summary'!$L$35=3, RANK(G53,G$8:G$82,1)+COUNTIF($G$8:G53,G53)-1, IF('AAA Summary'!$L$35=2, RANK(F53,F$8:F$82,1)+COUNTIF($F$8:F53,F53)-1, IF('AAA Summary'!$L$35=1, RANK(E53,E$8:E$82,1)+COUNTIF($E$8:E53,E53)-1))))</f>
        <v>64</v>
      </c>
      <c r="U53" s="34">
        <f>IF('AAA Summary'!$L$35=4, H53, IF('AAA Summary'!$L$35=3, G53, IF('AAA Summary'!$L$35=2, F53, IF('AAA Summary'!$L$35=1, E53))))</f>
        <v>1</v>
      </c>
      <c r="V53">
        <f t="shared" si="8"/>
        <v>1</v>
      </c>
    </row>
    <row r="54" spans="1:22" x14ac:dyDescent="0.25">
      <c r="A54" t="s">
        <v>32</v>
      </c>
      <c r="B54" t="s">
        <v>33</v>
      </c>
      <c r="C54" s="7">
        <v>13</v>
      </c>
      <c r="D54" s="7">
        <v>7</v>
      </c>
      <c r="E54" s="60">
        <v>0.92307689999999998</v>
      </c>
      <c r="F54" s="60">
        <v>1</v>
      </c>
      <c r="G54" s="60">
        <v>0.90909090000000004</v>
      </c>
      <c r="H54" s="60">
        <v>0.92307689999999998</v>
      </c>
      <c r="I54" s="62">
        <f t="shared" si="2"/>
        <v>6</v>
      </c>
      <c r="J54" s="60">
        <v>0.53846153846153844</v>
      </c>
      <c r="K54" s="60">
        <v>0.46153846153846156</v>
      </c>
      <c r="L54" s="7" t="s">
        <v>220</v>
      </c>
      <c r="M54" s="7" t="s">
        <v>511</v>
      </c>
      <c r="N54" s="61">
        <v>0</v>
      </c>
      <c r="O54" t="str">
        <f t="shared" si="3"/>
        <v>REF</v>
      </c>
      <c r="P54" s="26">
        <f t="shared" si="4"/>
        <v>2</v>
      </c>
      <c r="Q54" s="26">
        <f t="shared" si="5"/>
        <v>4</v>
      </c>
      <c r="R54" s="26">
        <f t="shared" si="6"/>
        <v>2</v>
      </c>
      <c r="S54" s="26">
        <f t="shared" si="7"/>
        <v>3</v>
      </c>
      <c r="T54" s="46">
        <f>IF('AAA Summary'!$L$35=4, RANK(H54,H$8:H$82,1)+COUNTIF($H$8:H54,H54)-1, IF('AAA Summary'!$L$35=3, RANK(G54,G$8:G$82,1)+COUNTIF($G$8:G54,G54)-1, IF('AAA Summary'!$L$35=2, RANK(F54,F$8:F$82,1)+COUNTIF($F$8:F54,F54)-1, IF('AAA Summary'!$L$35=1, RANK(E54,E$8:E$82,1)+COUNTIF($E$8:E54,E54)-1))))</f>
        <v>25</v>
      </c>
      <c r="U54" s="34">
        <f>IF('AAA Summary'!$L$35=4, H54, IF('AAA Summary'!$L$35=3, G54, IF('AAA Summary'!$L$35=2, F54, IF('AAA Summary'!$L$35=1, E54))))</f>
        <v>0.92307689999999998</v>
      </c>
      <c r="V54">
        <f t="shared" si="8"/>
        <v>45</v>
      </c>
    </row>
    <row r="55" spans="1:22" x14ac:dyDescent="0.25">
      <c r="A55" t="s">
        <v>42</v>
      </c>
      <c r="B55" t="s">
        <v>43</v>
      </c>
      <c r="C55" s="7">
        <v>33</v>
      </c>
      <c r="D55" s="7">
        <v>7</v>
      </c>
      <c r="E55" s="60">
        <v>1</v>
      </c>
      <c r="F55" s="60">
        <v>0.96969700000000003</v>
      </c>
      <c r="G55" s="60">
        <v>1</v>
      </c>
      <c r="H55" s="60">
        <v>0.96969700000000003</v>
      </c>
      <c r="I55" s="62">
        <f t="shared" si="2"/>
        <v>26</v>
      </c>
      <c r="J55" s="60">
        <v>0.21212121212121213</v>
      </c>
      <c r="K55" s="60">
        <v>0.78787878787878785</v>
      </c>
      <c r="L55" s="7" t="s">
        <v>220</v>
      </c>
      <c r="M55" s="7" t="s">
        <v>330</v>
      </c>
      <c r="N55" s="61">
        <v>3.7597300000000002</v>
      </c>
      <c r="O55" t="str">
        <f t="shared" si="3"/>
        <v>RH8</v>
      </c>
      <c r="P55" s="26">
        <f t="shared" si="4"/>
        <v>4</v>
      </c>
      <c r="Q55" s="26">
        <f t="shared" si="5"/>
        <v>2</v>
      </c>
      <c r="R55" s="26">
        <f t="shared" si="6"/>
        <v>4</v>
      </c>
      <c r="S55" s="26">
        <f t="shared" si="7"/>
        <v>3</v>
      </c>
      <c r="T55" s="46">
        <f>IF('AAA Summary'!$L$35=4, RANK(H55,H$8:H$82,1)+COUNTIF($H$8:H55,H55)-1, IF('AAA Summary'!$L$35=3, RANK(G55,G$8:G$82,1)+COUNTIF($G$8:G55,G55)-1, IF('AAA Summary'!$L$35=2, RANK(F55,F$8:F$82,1)+COUNTIF($F$8:F55,F55)-1, IF('AAA Summary'!$L$35=1, RANK(E55,E$8:E$82,1)+COUNTIF($E$8:E55,E55)-1))))</f>
        <v>65</v>
      </c>
      <c r="U55" s="34">
        <f>IF('AAA Summary'!$L$35=4, H55, IF('AAA Summary'!$L$35=3, G55, IF('AAA Summary'!$L$35=2, F55, IF('AAA Summary'!$L$35=1, E55))))</f>
        <v>1</v>
      </c>
      <c r="V55">
        <f t="shared" si="8"/>
        <v>66</v>
      </c>
    </row>
    <row r="56" spans="1:22" x14ac:dyDescent="0.25">
      <c r="A56" t="s">
        <v>19</v>
      </c>
      <c r="B56" t="s">
        <v>20</v>
      </c>
      <c r="C56" s="7">
        <v>30</v>
      </c>
      <c r="D56" s="7">
        <v>18</v>
      </c>
      <c r="E56" s="60">
        <v>0.56666669999999997</v>
      </c>
      <c r="F56" s="60">
        <v>0.96666660000000004</v>
      </c>
      <c r="G56" s="60">
        <v>0.61904760000000003</v>
      </c>
      <c r="H56" s="60">
        <v>0.46666669999999999</v>
      </c>
      <c r="I56" s="62">
        <f t="shared" si="2"/>
        <v>12</v>
      </c>
      <c r="J56" s="60">
        <v>0.6</v>
      </c>
      <c r="K56" s="60">
        <v>0.4</v>
      </c>
      <c r="L56" s="7" t="s">
        <v>227</v>
      </c>
      <c r="M56" s="7" t="s">
        <v>182</v>
      </c>
      <c r="N56" s="61">
        <v>0</v>
      </c>
      <c r="O56" t="str">
        <f t="shared" si="3"/>
        <v>RAL</v>
      </c>
      <c r="P56" s="26">
        <f t="shared" si="4"/>
        <v>1</v>
      </c>
      <c r="Q56" s="26">
        <f t="shared" si="5"/>
        <v>2</v>
      </c>
      <c r="R56" s="26">
        <f t="shared" si="6"/>
        <v>1</v>
      </c>
      <c r="S56" s="26">
        <f t="shared" si="7"/>
        <v>1</v>
      </c>
      <c r="T56" s="46">
        <f>IF('AAA Summary'!$L$35=4, RANK(H56,H$8:H$82,1)+COUNTIF($H$8:H56,H56)-1, IF('AAA Summary'!$L$35=3, RANK(G56,G$8:G$82,1)+COUNTIF($G$8:G56,G56)-1, IF('AAA Summary'!$L$35=2, RANK(F56,F$8:F$82,1)+COUNTIF($F$8:F56,F56)-1, IF('AAA Summary'!$L$35=1, RANK(E56,E$8:E$82,1)+COUNTIF($E$8:E56,E56)-1))))</f>
        <v>2</v>
      </c>
      <c r="U56" s="34">
        <f>IF('AAA Summary'!$L$35=4, H56, IF('AAA Summary'!$L$35=3, G56, IF('AAA Summary'!$L$35=2, F56, IF('AAA Summary'!$L$35=1, E56))))</f>
        <v>0.56666669999999997</v>
      </c>
      <c r="V56">
        <f t="shared" si="8"/>
        <v>32</v>
      </c>
    </row>
    <row r="57" spans="1:22" x14ac:dyDescent="0.25">
      <c r="A57" t="s">
        <v>46</v>
      </c>
      <c r="B57" t="s">
        <v>47</v>
      </c>
      <c r="C57" s="7">
        <v>36</v>
      </c>
      <c r="D57" s="7">
        <v>15</v>
      </c>
      <c r="E57" s="60">
        <v>0.80555560000000004</v>
      </c>
      <c r="F57" s="60">
        <v>1</v>
      </c>
      <c r="G57" s="60">
        <v>0.84848489999999999</v>
      </c>
      <c r="H57" s="60">
        <v>0.75</v>
      </c>
      <c r="I57" s="62">
        <f t="shared" si="2"/>
        <v>21</v>
      </c>
      <c r="J57" s="60">
        <v>0.41666666666666669</v>
      </c>
      <c r="K57" s="60">
        <v>0.58333333333333337</v>
      </c>
      <c r="L57" s="7" t="s">
        <v>237</v>
      </c>
      <c r="M57" s="7" t="s">
        <v>472</v>
      </c>
      <c r="N57" s="61">
        <v>1.6870199999999997</v>
      </c>
      <c r="O57" t="str">
        <f t="shared" si="3"/>
        <v>RHQ</v>
      </c>
      <c r="P57" s="26">
        <f t="shared" si="4"/>
        <v>1</v>
      </c>
      <c r="Q57" s="26">
        <f t="shared" si="5"/>
        <v>4</v>
      </c>
      <c r="R57" s="26">
        <f t="shared" si="6"/>
        <v>1</v>
      </c>
      <c r="S57" s="26">
        <f t="shared" si="7"/>
        <v>1</v>
      </c>
      <c r="T57" s="46">
        <f>IF('AAA Summary'!$L$35=4, RANK(H57,H$8:H$82,1)+COUNTIF($H$8:H57,H57)-1, IF('AAA Summary'!$L$35=3, RANK(G57,G$8:G$82,1)+COUNTIF($G$8:G57,G57)-1, IF('AAA Summary'!$L$35=2, RANK(F57,F$8:F$82,1)+COUNTIF($F$8:F57,F57)-1, IF('AAA Summary'!$L$35=1, RANK(E57,E$8:E$82,1)+COUNTIF($E$8:E57,E57)-1))))</f>
        <v>13</v>
      </c>
      <c r="U57" s="34">
        <f>IF('AAA Summary'!$L$35=4, H57, IF('AAA Summary'!$L$35=3, G57, IF('AAA Summary'!$L$35=2, F57, IF('AAA Summary'!$L$35=1, E57))))</f>
        <v>0.80555560000000004</v>
      </c>
      <c r="V57">
        <f t="shared" si="8"/>
        <v>57</v>
      </c>
    </row>
    <row r="58" spans="1:22" x14ac:dyDescent="0.25">
      <c r="A58" t="s">
        <v>127</v>
      </c>
      <c r="B58" t="s">
        <v>128</v>
      </c>
      <c r="C58" s="7">
        <v>25</v>
      </c>
      <c r="D58" s="7">
        <v>16</v>
      </c>
      <c r="E58" s="60">
        <v>0.88</v>
      </c>
      <c r="F58" s="60">
        <v>1</v>
      </c>
      <c r="G58" s="60">
        <v>0.86956520000000004</v>
      </c>
      <c r="H58" s="60">
        <v>0.8</v>
      </c>
      <c r="I58" s="62">
        <f t="shared" si="2"/>
        <v>9</v>
      </c>
      <c r="J58" s="60">
        <v>0.64</v>
      </c>
      <c r="K58" s="60">
        <v>0.36</v>
      </c>
      <c r="L58" s="7" t="s">
        <v>252</v>
      </c>
      <c r="M58" s="7" t="s">
        <v>328</v>
      </c>
      <c r="N58" s="61">
        <v>0</v>
      </c>
      <c r="O58" t="str">
        <f t="shared" si="3"/>
        <v>RXW</v>
      </c>
      <c r="P58" s="26">
        <f t="shared" si="4"/>
        <v>2</v>
      </c>
      <c r="Q58" s="26">
        <f t="shared" si="5"/>
        <v>4</v>
      </c>
      <c r="R58" s="26">
        <f t="shared" si="6"/>
        <v>1</v>
      </c>
      <c r="S58" s="26">
        <f t="shared" si="7"/>
        <v>1</v>
      </c>
      <c r="T58" s="46">
        <f>IF('AAA Summary'!$L$35=4, RANK(H58,H$8:H$82,1)+COUNTIF($H$8:H58,H58)-1, IF('AAA Summary'!$L$35=3, RANK(G58,G$8:G$82,1)+COUNTIF($G$8:G58,G58)-1, IF('AAA Summary'!$L$35=2, RANK(F58,F$8:F$82,1)+COUNTIF($F$8:F58,F58)-1, IF('AAA Summary'!$L$35=1, RANK(E58,E$8:E$82,1)+COUNTIF($E$8:E58,E58)-1))))</f>
        <v>21</v>
      </c>
      <c r="U58" s="34">
        <f>IF('AAA Summary'!$L$35=4, H58, IF('AAA Summary'!$L$35=3, G58, IF('AAA Summary'!$L$35=2, F58, IF('AAA Summary'!$L$35=1, E58))))</f>
        <v>0.88</v>
      </c>
      <c r="V58">
        <f t="shared" si="8"/>
        <v>27</v>
      </c>
    </row>
    <row r="59" spans="1:22" x14ac:dyDescent="0.25">
      <c r="A59" t="s">
        <v>513</v>
      </c>
      <c r="B59" t="s">
        <v>514</v>
      </c>
      <c r="C59" s="7">
        <v>41</v>
      </c>
      <c r="D59" s="7">
        <v>25</v>
      </c>
      <c r="E59" s="60">
        <v>0.97560979999999997</v>
      </c>
      <c r="F59" s="60">
        <v>1</v>
      </c>
      <c r="G59" s="60">
        <v>0.9736842</v>
      </c>
      <c r="H59" s="60">
        <v>0.9512195</v>
      </c>
      <c r="I59" s="62">
        <f t="shared" si="2"/>
        <v>16</v>
      </c>
      <c r="J59" s="60">
        <v>0.6097560975609756</v>
      </c>
      <c r="K59" s="60">
        <v>0.3902439024390244</v>
      </c>
      <c r="L59" s="7" t="s">
        <v>237</v>
      </c>
      <c r="M59" s="7" t="s">
        <v>261</v>
      </c>
      <c r="N59" s="61">
        <v>1.2514099999999999</v>
      </c>
      <c r="O59" t="str">
        <f t="shared" si="3"/>
        <v>RH5</v>
      </c>
      <c r="P59" s="26">
        <f t="shared" si="4"/>
        <v>3</v>
      </c>
      <c r="Q59" s="26">
        <f t="shared" si="5"/>
        <v>4</v>
      </c>
      <c r="R59" s="26">
        <f t="shared" si="6"/>
        <v>3</v>
      </c>
      <c r="S59" s="26">
        <f t="shared" si="7"/>
        <v>3</v>
      </c>
      <c r="T59" s="46">
        <f>IF('AAA Summary'!$L$35=4, RANK(H59,H$8:H$82,1)+COUNTIF($H$8:H59,H59)-1, IF('AAA Summary'!$L$35=3, RANK(G59,G$8:G$82,1)+COUNTIF($G$8:G59,G59)-1, IF('AAA Summary'!$L$35=2, RANK(F59,F$8:F$82,1)+COUNTIF($F$8:F59,F59)-1, IF('AAA Summary'!$L$35=1, RANK(E59,E$8:E$82,1)+COUNTIF($E$8:E59,E59)-1))))</f>
        <v>43</v>
      </c>
      <c r="U59" s="34">
        <f>IF('AAA Summary'!$L$35=4, H59, IF('AAA Summary'!$L$35=3, G59, IF('AAA Summary'!$L$35=2, F59, IF('AAA Summary'!$L$35=1, E59))))</f>
        <v>0.97560979999999997</v>
      </c>
      <c r="V59">
        <f t="shared" si="8"/>
        <v>30</v>
      </c>
    </row>
    <row r="60" spans="1:22" x14ac:dyDescent="0.25">
      <c r="A60" t="s">
        <v>98</v>
      </c>
      <c r="B60" t="s">
        <v>99</v>
      </c>
      <c r="C60" s="7">
        <v>23</v>
      </c>
      <c r="D60" s="7">
        <v>14</v>
      </c>
      <c r="E60" s="60">
        <v>0.95652170000000003</v>
      </c>
      <c r="F60" s="60">
        <v>0.95652170000000003</v>
      </c>
      <c r="G60" s="60">
        <v>0.95238100000000003</v>
      </c>
      <c r="H60" s="60">
        <v>1</v>
      </c>
      <c r="I60" s="62">
        <f t="shared" si="2"/>
        <v>9</v>
      </c>
      <c r="J60" s="60">
        <v>0.60869565217391308</v>
      </c>
      <c r="K60" s="60">
        <v>0.39130434782608697</v>
      </c>
      <c r="L60" s="7" t="s">
        <v>237</v>
      </c>
      <c r="M60" s="7" t="s">
        <v>251</v>
      </c>
      <c r="N60" s="61">
        <v>0.86736000000000002</v>
      </c>
      <c r="O60" t="str">
        <f t="shared" si="3"/>
        <v>RTR</v>
      </c>
      <c r="P60" s="26">
        <f t="shared" si="4"/>
        <v>2</v>
      </c>
      <c r="Q60" s="26">
        <f t="shared" si="5"/>
        <v>1</v>
      </c>
      <c r="R60" s="26">
        <f t="shared" si="6"/>
        <v>2</v>
      </c>
      <c r="S60" s="26">
        <f t="shared" si="7"/>
        <v>4</v>
      </c>
      <c r="T60" s="46">
        <f>IF('AAA Summary'!$L$35=4, RANK(H60,H$8:H$82,1)+COUNTIF($H$8:H60,H60)-1, IF('AAA Summary'!$L$35=3, RANK(G60,G$8:G$82,1)+COUNTIF($G$8:G60,G60)-1, IF('AAA Summary'!$L$35=2, RANK(F60,F$8:F$82,1)+COUNTIF($F$8:F60,F60)-1, IF('AAA Summary'!$L$35=1, RANK(E60,E$8:E$82,1)+COUNTIF($E$8:E60,E60)-1))))</f>
        <v>34</v>
      </c>
      <c r="U60" s="34">
        <f>IF('AAA Summary'!$L$35=4, H60, IF('AAA Summary'!$L$35=3, G60, IF('AAA Summary'!$L$35=2, F60, IF('AAA Summary'!$L$35=1, E60))))</f>
        <v>0.95652170000000003</v>
      </c>
      <c r="V60">
        <f t="shared" si="8"/>
        <v>31</v>
      </c>
    </row>
    <row r="61" spans="1:22" x14ac:dyDescent="0.25">
      <c r="A61" t="s">
        <v>498</v>
      </c>
      <c r="B61" t="s">
        <v>499</v>
      </c>
      <c r="C61" s="7">
        <v>39</v>
      </c>
      <c r="D61" s="7">
        <v>31</v>
      </c>
      <c r="E61" s="60">
        <v>0.97435899999999998</v>
      </c>
      <c r="F61" s="60">
        <v>0.97435899999999998</v>
      </c>
      <c r="G61" s="60">
        <v>0.9736842</v>
      </c>
      <c r="H61" s="60">
        <v>0.92307689999999998</v>
      </c>
      <c r="I61" s="62">
        <f t="shared" si="2"/>
        <v>8</v>
      </c>
      <c r="J61" s="60">
        <v>0.79487179487179482</v>
      </c>
      <c r="K61" s="60">
        <v>0.20512820512820512</v>
      </c>
      <c r="L61" s="7" t="s">
        <v>235</v>
      </c>
      <c r="M61" s="7" t="s">
        <v>500</v>
      </c>
      <c r="N61" s="61">
        <v>1.6600899999999998</v>
      </c>
      <c r="O61" t="str">
        <f t="shared" si="3"/>
        <v>R0B</v>
      </c>
      <c r="P61" s="26">
        <f t="shared" si="4"/>
        <v>3</v>
      </c>
      <c r="Q61" s="26">
        <f t="shared" si="5"/>
        <v>2</v>
      </c>
      <c r="R61" s="26">
        <f t="shared" si="6"/>
        <v>3</v>
      </c>
      <c r="S61" s="26">
        <f t="shared" si="7"/>
        <v>3</v>
      </c>
      <c r="T61" s="46">
        <f>IF('AAA Summary'!$L$35=4, RANK(H61,H$8:H$82,1)+COUNTIF($H$8:H61,H61)-1, IF('AAA Summary'!$L$35=3, RANK(G61,G$8:G$82,1)+COUNTIF($G$8:G61,G61)-1, IF('AAA Summary'!$L$35=2, RANK(F61,F$8:F$82,1)+COUNTIF($F$8:F61,F61)-1, IF('AAA Summary'!$L$35=1, RANK(E61,E$8:E$82,1)+COUNTIF($E$8:E61,E61)-1))))</f>
        <v>42</v>
      </c>
      <c r="U61" s="34">
        <f>IF('AAA Summary'!$L$35=4, H61, IF('AAA Summary'!$L$35=3, G61, IF('AAA Summary'!$L$35=2, F61, IF('AAA Summary'!$L$35=1, E61))))</f>
        <v>0.97435899999999998</v>
      </c>
      <c r="V61">
        <f t="shared" si="8"/>
        <v>12</v>
      </c>
    </row>
    <row r="62" spans="1:22" x14ac:dyDescent="0.25">
      <c r="A62" t="s">
        <v>52</v>
      </c>
      <c r="B62" t="s">
        <v>53</v>
      </c>
      <c r="C62" s="7">
        <v>41</v>
      </c>
      <c r="D62" s="7">
        <v>36</v>
      </c>
      <c r="E62" s="60">
        <v>0.82926829999999996</v>
      </c>
      <c r="F62" s="60">
        <v>1</v>
      </c>
      <c r="G62" s="60">
        <v>0.88888889999999998</v>
      </c>
      <c r="H62" s="60">
        <v>0.82926829999999996</v>
      </c>
      <c r="I62" s="62">
        <f t="shared" si="2"/>
        <v>5</v>
      </c>
      <c r="J62" s="60">
        <v>0.87804878048780488</v>
      </c>
      <c r="K62" s="60">
        <v>0.12195121951219512</v>
      </c>
      <c r="L62" s="7" t="s">
        <v>235</v>
      </c>
      <c r="M62" s="7" t="s">
        <v>516</v>
      </c>
      <c r="N62" s="61">
        <v>0</v>
      </c>
      <c r="O62" t="str">
        <f t="shared" si="3"/>
        <v>RJ7</v>
      </c>
      <c r="P62" s="26">
        <f t="shared" si="4"/>
        <v>1</v>
      </c>
      <c r="Q62" s="26">
        <f t="shared" si="5"/>
        <v>4</v>
      </c>
      <c r="R62" s="26">
        <f t="shared" si="6"/>
        <v>2</v>
      </c>
      <c r="S62" s="26">
        <f t="shared" si="7"/>
        <v>2</v>
      </c>
      <c r="T62" s="46">
        <f>IF('AAA Summary'!$L$35=4, RANK(H62,H$8:H$82,1)+COUNTIF($H$8:H62,H62)-1, IF('AAA Summary'!$L$35=3, RANK(G62,G$8:G$82,1)+COUNTIF($G$8:G62,G62)-1, IF('AAA Summary'!$L$35=2, RANK(F62,F$8:F$82,1)+COUNTIF($F$8:F62,F62)-1, IF('AAA Summary'!$L$35=1, RANK(E62,E$8:E$82,1)+COUNTIF($E$8:E62,E62)-1))))</f>
        <v>14</v>
      </c>
      <c r="U62" s="34">
        <f>IF('AAA Summary'!$L$35=4, H62, IF('AAA Summary'!$L$35=3, G62, IF('AAA Summary'!$L$35=2, F62, IF('AAA Summary'!$L$35=1, E62))))</f>
        <v>0.82926829999999996</v>
      </c>
      <c r="V62">
        <f t="shared" si="8"/>
        <v>6</v>
      </c>
    </row>
    <row r="63" spans="1:22" x14ac:dyDescent="0.25">
      <c r="A63" t="s">
        <v>2</v>
      </c>
      <c r="B63" t="s">
        <v>168</v>
      </c>
      <c r="C63" s="7">
        <v>27</v>
      </c>
      <c r="D63" s="7">
        <v>11</v>
      </c>
      <c r="E63" s="60">
        <v>1</v>
      </c>
      <c r="F63" s="60">
        <v>0.96296300000000001</v>
      </c>
      <c r="G63" s="60">
        <v>1</v>
      </c>
      <c r="H63" s="60">
        <v>0.96296300000000001</v>
      </c>
      <c r="I63" s="62">
        <f t="shared" si="2"/>
        <v>16</v>
      </c>
      <c r="J63" s="60">
        <v>0.40740740740740738</v>
      </c>
      <c r="K63" s="60">
        <v>0.59259259259259256</v>
      </c>
      <c r="L63" s="7" t="s">
        <v>220</v>
      </c>
      <c r="M63" s="7" t="s">
        <v>262</v>
      </c>
      <c r="N63" s="61">
        <v>4.7336900000000002</v>
      </c>
      <c r="O63" t="str">
        <f t="shared" si="3"/>
        <v>7A3</v>
      </c>
      <c r="P63" s="26">
        <f t="shared" si="4"/>
        <v>4</v>
      </c>
      <c r="Q63" s="26">
        <f t="shared" si="5"/>
        <v>1</v>
      </c>
      <c r="R63" s="26">
        <f t="shared" si="6"/>
        <v>4</v>
      </c>
      <c r="S63" s="26">
        <f t="shared" si="7"/>
        <v>3</v>
      </c>
      <c r="T63" s="46">
        <f>IF('AAA Summary'!$L$35=4, RANK(H63,H$8:H$82,1)+COUNTIF($H$8:H63,H63)-1, IF('AAA Summary'!$L$35=3, RANK(G63,G$8:G$82,1)+COUNTIF($G$8:G63,G63)-1, IF('AAA Summary'!$L$35=2, RANK(F63,F$8:F$82,1)+COUNTIF($F$8:F63,F63)-1, IF('AAA Summary'!$L$35=1, RANK(E63,E$8:E$82,1)+COUNTIF($E$8:E63,E63)-1))))</f>
        <v>66</v>
      </c>
      <c r="U63" s="34">
        <f>IF('AAA Summary'!$L$35=4, H63, IF('AAA Summary'!$L$35=3, G63, IF('AAA Summary'!$L$35=2, F63, IF('AAA Summary'!$L$35=1, E63))))</f>
        <v>1</v>
      </c>
      <c r="V63">
        <f t="shared" si="8"/>
        <v>59</v>
      </c>
    </row>
    <row r="64" spans="1:22" x14ac:dyDescent="0.25">
      <c r="A64" t="s">
        <v>69</v>
      </c>
      <c r="B64" t="s">
        <v>70</v>
      </c>
      <c r="C64" s="7">
        <v>27</v>
      </c>
      <c r="D64" s="7">
        <v>18</v>
      </c>
      <c r="E64" s="60">
        <v>0.96296300000000001</v>
      </c>
      <c r="F64" s="60">
        <v>0.88888889999999998</v>
      </c>
      <c r="G64" s="60">
        <v>0.96153840000000002</v>
      </c>
      <c r="H64" s="60">
        <v>0.8518519</v>
      </c>
      <c r="I64" s="62">
        <f t="shared" si="2"/>
        <v>9</v>
      </c>
      <c r="J64" s="60">
        <v>0.66666666666666663</v>
      </c>
      <c r="K64" s="60">
        <v>0.33333333333333331</v>
      </c>
      <c r="L64" s="7" t="s">
        <v>189</v>
      </c>
      <c r="M64" s="7" t="s">
        <v>239</v>
      </c>
      <c r="N64" s="61">
        <v>0</v>
      </c>
      <c r="O64" t="str">
        <f t="shared" si="3"/>
        <v>RNA</v>
      </c>
      <c r="P64" s="26">
        <f t="shared" si="4"/>
        <v>3</v>
      </c>
      <c r="Q64" s="26">
        <f t="shared" si="5"/>
        <v>1</v>
      </c>
      <c r="R64" s="26">
        <f t="shared" si="6"/>
        <v>3</v>
      </c>
      <c r="S64" s="26">
        <f t="shared" si="7"/>
        <v>2</v>
      </c>
      <c r="T64" s="46">
        <f>IF('AAA Summary'!$L$35=4, RANK(H64,H$8:H$82,1)+COUNTIF($H$8:H64,H64)-1, IF('AAA Summary'!$L$35=3, RANK(G64,G$8:G$82,1)+COUNTIF($G$8:G64,G64)-1, IF('AAA Summary'!$L$35=2, RANK(F64,F$8:F$82,1)+COUNTIF($F$8:F64,F64)-1, IF('AAA Summary'!$L$35=1, RANK(E64,E$8:E$82,1)+COUNTIF($E$8:E64,E64)-1))))</f>
        <v>39</v>
      </c>
      <c r="U64" s="34">
        <f>IF('AAA Summary'!$L$35=4, H64, IF('AAA Summary'!$L$35=3, G64, IF('AAA Summary'!$L$35=2, F64, IF('AAA Summary'!$L$35=1, E64))))</f>
        <v>0.96296300000000001</v>
      </c>
      <c r="V64">
        <f t="shared" si="8"/>
        <v>24</v>
      </c>
    </row>
    <row r="65" spans="1:22" x14ac:dyDescent="0.25">
      <c r="A65" t="s">
        <v>13</v>
      </c>
      <c r="B65" t="s">
        <v>14</v>
      </c>
      <c r="C65" s="7">
        <v>9</v>
      </c>
      <c r="D65" s="7">
        <v>9</v>
      </c>
      <c r="E65" s="60">
        <v>1</v>
      </c>
      <c r="F65" s="60">
        <v>1</v>
      </c>
      <c r="G65" s="60">
        <v>1</v>
      </c>
      <c r="H65" s="60">
        <v>1</v>
      </c>
      <c r="I65" s="62">
        <f t="shared" si="2"/>
        <v>0</v>
      </c>
      <c r="J65" s="60">
        <v>1</v>
      </c>
      <c r="K65" s="60">
        <v>0</v>
      </c>
      <c r="L65" s="7" t="s">
        <v>194</v>
      </c>
      <c r="M65" s="7" t="s">
        <v>276</v>
      </c>
      <c r="N65" s="61">
        <v>0</v>
      </c>
      <c r="O65" t="str">
        <f t="shared" si="3"/>
        <v>RA9</v>
      </c>
      <c r="P65" s="26">
        <f t="shared" si="4"/>
        <v>4</v>
      </c>
      <c r="Q65" s="26">
        <f t="shared" si="5"/>
        <v>4</v>
      </c>
      <c r="R65" s="26">
        <f t="shared" si="6"/>
        <v>4</v>
      </c>
      <c r="S65" s="26">
        <f t="shared" si="7"/>
        <v>4</v>
      </c>
      <c r="T65" s="46">
        <f>IF('AAA Summary'!$L$35=4, RANK(H65,H$8:H$82,1)+COUNTIF($H$8:H65,H65)-1, IF('AAA Summary'!$L$35=3, RANK(G65,G$8:G$82,1)+COUNTIF($G$8:G65,G65)-1, IF('AAA Summary'!$L$35=2, RANK(F65,F$8:F$82,1)+COUNTIF($F$8:F65,F65)-1, IF('AAA Summary'!$L$35=1, RANK(E65,E$8:E$82,1)+COUNTIF($E$8:E65,E65)-1))))</f>
        <v>67</v>
      </c>
      <c r="U65" s="34">
        <f>IF('AAA Summary'!$L$35=4, H65, IF('AAA Summary'!$L$35=3, G65, IF('AAA Summary'!$L$35=2, F65, IF('AAA Summary'!$L$35=1, E65))))</f>
        <v>1</v>
      </c>
      <c r="V65">
        <f t="shared" si="8"/>
        <v>1</v>
      </c>
    </row>
    <row r="66" spans="1:22" x14ac:dyDescent="0.25">
      <c r="A66" t="s">
        <v>107</v>
      </c>
      <c r="B66" t="s">
        <v>108</v>
      </c>
      <c r="C66" s="7">
        <v>24</v>
      </c>
      <c r="D66" s="7" t="s">
        <v>283</v>
      </c>
      <c r="E66" s="60">
        <v>0.95833330000000005</v>
      </c>
      <c r="F66" s="60">
        <v>0.95833330000000005</v>
      </c>
      <c r="G66" s="60">
        <v>0.95833330000000005</v>
      </c>
      <c r="H66" s="60">
        <v>1</v>
      </c>
      <c r="I66" s="62" t="e">
        <f t="shared" si="2"/>
        <v>#VALUE!</v>
      </c>
      <c r="J66" s="60">
        <v>0.16666666666666666</v>
      </c>
      <c r="K66" s="60">
        <v>0.83333333333333337</v>
      </c>
      <c r="L66" s="7" t="s">
        <v>284</v>
      </c>
      <c r="M66" s="7" t="s">
        <v>205</v>
      </c>
      <c r="N66" s="61">
        <v>1.15154</v>
      </c>
      <c r="O66" t="str">
        <f t="shared" si="3"/>
        <v>RWD</v>
      </c>
      <c r="P66" s="26">
        <f t="shared" si="4"/>
        <v>3</v>
      </c>
      <c r="Q66" s="26">
        <f t="shared" si="5"/>
        <v>1</v>
      </c>
      <c r="R66" s="26">
        <f t="shared" si="6"/>
        <v>2</v>
      </c>
      <c r="S66" s="26">
        <f t="shared" si="7"/>
        <v>4</v>
      </c>
      <c r="T66" s="46">
        <f>IF('AAA Summary'!$L$35=4, RANK(H66,H$8:H$82,1)+COUNTIF($H$8:H66,H66)-1, IF('AAA Summary'!$L$35=3, RANK(G66,G$8:G$82,1)+COUNTIF($G$8:G66,G66)-1, IF('AAA Summary'!$L$35=2, RANK(F66,F$8:F$82,1)+COUNTIF($F$8:F66,F66)-1, IF('AAA Summary'!$L$35=1, RANK(E66,E$8:E$82,1)+COUNTIF($E$8:E66,E66)-1))))</f>
        <v>36</v>
      </c>
      <c r="U66" s="34">
        <f>IF('AAA Summary'!$L$35=4, H66, IF('AAA Summary'!$L$35=3, G66, IF('AAA Summary'!$L$35=2, F66, IF('AAA Summary'!$L$35=1, E66))))</f>
        <v>0.95833330000000005</v>
      </c>
      <c r="V66">
        <f t="shared" si="8"/>
        <v>67</v>
      </c>
    </row>
    <row r="67" spans="1:22" x14ac:dyDescent="0.25">
      <c r="A67" t="s">
        <v>54</v>
      </c>
      <c r="B67" t="s">
        <v>55</v>
      </c>
      <c r="C67" s="7">
        <v>67</v>
      </c>
      <c r="D67" s="7">
        <v>33</v>
      </c>
      <c r="E67" s="60">
        <v>0.98507460000000002</v>
      </c>
      <c r="F67" s="60">
        <v>1</v>
      </c>
      <c r="G67" s="60">
        <v>1</v>
      </c>
      <c r="H67" s="60">
        <v>0.94029850000000004</v>
      </c>
      <c r="I67" s="62">
        <f t="shared" si="2"/>
        <v>34</v>
      </c>
      <c r="J67" s="60">
        <v>0.4925373134328358</v>
      </c>
      <c r="K67" s="60">
        <v>0.5074626865671642</v>
      </c>
      <c r="L67" s="7" t="s">
        <v>235</v>
      </c>
      <c r="M67" s="7" t="s">
        <v>254</v>
      </c>
      <c r="N67" s="61">
        <v>1.9654199999999999</v>
      </c>
      <c r="O67" t="str">
        <f t="shared" si="3"/>
        <v>RJE</v>
      </c>
      <c r="P67" s="26">
        <f t="shared" si="4"/>
        <v>3</v>
      </c>
      <c r="Q67" s="26">
        <f t="shared" si="5"/>
        <v>4</v>
      </c>
      <c r="R67" s="26">
        <f t="shared" si="6"/>
        <v>4</v>
      </c>
      <c r="S67" s="26">
        <f t="shared" si="7"/>
        <v>3</v>
      </c>
      <c r="T67" s="46">
        <f>IF('AAA Summary'!$L$35=4, RANK(H67,H$8:H$82,1)+COUNTIF($H$8:H67,H67)-1, IF('AAA Summary'!$L$35=3, RANK(G67,G$8:G$82,1)+COUNTIF($G$8:G67,G67)-1, IF('AAA Summary'!$L$35=2, RANK(F67,F$8:F$82,1)+COUNTIF($F$8:F67,F67)-1, IF('AAA Summary'!$L$35=1, RANK(E67,E$8:E$82,1)+COUNTIF($E$8:E67,E67)-1))))</f>
        <v>48</v>
      </c>
      <c r="U67" s="34">
        <f>IF('AAA Summary'!$L$35=4, H67, IF('AAA Summary'!$L$35=3, G67, IF('AAA Summary'!$L$35=2, F67, IF('AAA Summary'!$L$35=1, E67))))</f>
        <v>0.98507460000000002</v>
      </c>
      <c r="V67">
        <f t="shared" si="8"/>
        <v>50</v>
      </c>
    </row>
    <row r="68" spans="1:22" x14ac:dyDescent="0.25">
      <c r="A68" t="s">
        <v>44</v>
      </c>
      <c r="B68" t="s">
        <v>45</v>
      </c>
      <c r="C68" s="7">
        <v>76</v>
      </c>
      <c r="D68" s="7">
        <v>42</v>
      </c>
      <c r="E68" s="60">
        <v>0.8026316</v>
      </c>
      <c r="F68" s="60">
        <v>1</v>
      </c>
      <c r="G68" s="60">
        <v>0.81944439999999996</v>
      </c>
      <c r="H68" s="60">
        <v>0.7763158</v>
      </c>
      <c r="I68" s="62">
        <f t="shared" si="2"/>
        <v>34</v>
      </c>
      <c r="J68" s="60">
        <v>0.55263157894736847</v>
      </c>
      <c r="K68" s="60">
        <v>0.44736842105263158</v>
      </c>
      <c r="L68" s="7" t="s">
        <v>194</v>
      </c>
      <c r="M68" s="7" t="s">
        <v>261</v>
      </c>
      <c r="N68" s="61">
        <v>1.22262</v>
      </c>
      <c r="O68" t="str">
        <f t="shared" si="3"/>
        <v>RHM</v>
      </c>
      <c r="P68" s="26">
        <f t="shared" si="4"/>
        <v>1</v>
      </c>
      <c r="Q68" s="26">
        <f t="shared" si="5"/>
        <v>4</v>
      </c>
      <c r="R68" s="26">
        <f t="shared" si="6"/>
        <v>1</v>
      </c>
      <c r="S68" s="26">
        <f t="shared" si="7"/>
        <v>1</v>
      </c>
      <c r="T68" s="46">
        <f>IF('AAA Summary'!$L$35=4, RANK(H68,H$8:H$82,1)+COUNTIF($H$8:H68,H68)-1, IF('AAA Summary'!$L$35=3, RANK(G68,G$8:G$82,1)+COUNTIF($G$8:G68,G68)-1, IF('AAA Summary'!$L$35=2, RANK(F68,F$8:F$82,1)+COUNTIF($F$8:F68,F68)-1, IF('AAA Summary'!$L$35=1, RANK(E68,E$8:E$82,1)+COUNTIF($E$8:E68,E68)-1))))</f>
        <v>12</v>
      </c>
      <c r="U68" s="34">
        <f>IF('AAA Summary'!$L$35=4, H68, IF('AAA Summary'!$L$35=3, G68, IF('AAA Summary'!$L$35=2, F68, IF('AAA Summary'!$L$35=1, E68))))</f>
        <v>0.8026316</v>
      </c>
      <c r="V68">
        <f t="shared" si="8"/>
        <v>42</v>
      </c>
    </row>
    <row r="69" spans="1:22" x14ac:dyDescent="0.25">
      <c r="A69" t="s">
        <v>525</v>
      </c>
      <c r="B69" t="s">
        <v>526</v>
      </c>
      <c r="C69" s="7">
        <v>61</v>
      </c>
      <c r="D69" s="7">
        <v>48</v>
      </c>
      <c r="E69" s="60">
        <v>0.9836066</v>
      </c>
      <c r="F69" s="60">
        <v>0.9836066</v>
      </c>
      <c r="G69" s="60">
        <v>0.98275860000000004</v>
      </c>
      <c r="H69" s="60">
        <v>0.95081970000000005</v>
      </c>
      <c r="I69" s="62">
        <f t="shared" si="2"/>
        <v>13</v>
      </c>
      <c r="J69" s="60">
        <v>0.78688524590163933</v>
      </c>
      <c r="K69" s="60">
        <v>0.21311475409836064</v>
      </c>
      <c r="L69" s="7" t="s">
        <v>252</v>
      </c>
      <c r="M69" s="7" t="s">
        <v>338</v>
      </c>
      <c r="N69" s="61">
        <v>1.01824</v>
      </c>
      <c r="O69" t="str">
        <f t="shared" si="3"/>
        <v>RYR</v>
      </c>
      <c r="P69" s="26">
        <f t="shared" si="4"/>
        <v>3</v>
      </c>
      <c r="Q69" s="26">
        <f t="shared" si="5"/>
        <v>2</v>
      </c>
      <c r="R69" s="26">
        <f t="shared" si="6"/>
        <v>3</v>
      </c>
      <c r="S69" s="26">
        <f t="shared" si="7"/>
        <v>3</v>
      </c>
      <c r="T69" s="46">
        <f>IF('AAA Summary'!$L$35=4, RANK(H69,H$8:H$82,1)+COUNTIF($H$8:H69,H69)-1, IF('AAA Summary'!$L$35=3, RANK(G69,G$8:G$82,1)+COUNTIF($G$8:G69,G69)-1, IF('AAA Summary'!$L$35=2, RANK(F69,F$8:F$82,1)+COUNTIF($F$8:F69,F69)-1, IF('AAA Summary'!$L$35=1, RANK(E69,E$8:E$82,1)+COUNTIF($E$8:E69,E69)-1))))</f>
        <v>47</v>
      </c>
      <c r="U69" s="34">
        <f>IF('AAA Summary'!$L$35=4, H69, IF('AAA Summary'!$L$35=3, G69, IF('AAA Summary'!$L$35=2, F69, IF('AAA Summary'!$L$35=1, E69))))</f>
        <v>0.9836066</v>
      </c>
      <c r="V69">
        <f t="shared" si="8"/>
        <v>13</v>
      </c>
    </row>
    <row r="70" spans="1:22" x14ac:dyDescent="0.25">
      <c r="A70" t="s">
        <v>85</v>
      </c>
      <c r="B70" t="s">
        <v>86</v>
      </c>
      <c r="C70" s="7">
        <v>36</v>
      </c>
      <c r="D70" s="7">
        <v>26</v>
      </c>
      <c r="E70" s="60">
        <v>0.94444439999999996</v>
      </c>
      <c r="F70" s="60">
        <v>1</v>
      </c>
      <c r="G70" s="60">
        <v>0.96666660000000004</v>
      </c>
      <c r="H70" s="60">
        <v>0.77777779999999996</v>
      </c>
      <c r="I70" s="62">
        <f t="shared" si="2"/>
        <v>10</v>
      </c>
      <c r="J70" s="60">
        <v>0.72222222222222221</v>
      </c>
      <c r="K70" s="60">
        <v>0.27777777777777779</v>
      </c>
      <c r="L70" s="7" t="s">
        <v>189</v>
      </c>
      <c r="M70" s="7" t="s">
        <v>254</v>
      </c>
      <c r="N70" s="61">
        <v>3.0428500000000001</v>
      </c>
      <c r="O70" t="str">
        <f t="shared" si="3"/>
        <v>RRK</v>
      </c>
      <c r="P70" s="26">
        <f t="shared" si="4"/>
        <v>2</v>
      </c>
      <c r="Q70" s="26">
        <f t="shared" si="5"/>
        <v>4</v>
      </c>
      <c r="R70" s="26">
        <f t="shared" si="6"/>
        <v>3</v>
      </c>
      <c r="S70" s="26">
        <f t="shared" si="7"/>
        <v>1</v>
      </c>
      <c r="T70" s="46">
        <f>IF('AAA Summary'!$L$35=4, RANK(H70,H$8:H$82,1)+COUNTIF($H$8:H70,H70)-1, IF('AAA Summary'!$L$35=3, RANK(G70,G$8:G$82,1)+COUNTIF($G$8:G70,G70)-1, IF('AAA Summary'!$L$35=2, RANK(F70,F$8:F$82,1)+COUNTIF($F$8:F70,F70)-1, IF('AAA Summary'!$L$35=1, RANK(E70,E$8:E$82,1)+COUNTIF($E$8:E70,E70)-1))))</f>
        <v>30</v>
      </c>
      <c r="U70" s="34">
        <f>IF('AAA Summary'!$L$35=4, H70, IF('AAA Summary'!$L$35=3, G70, IF('AAA Summary'!$L$35=2, F70, IF('AAA Summary'!$L$35=1, E70))))</f>
        <v>0.94444439999999996</v>
      </c>
      <c r="V70">
        <f t="shared" si="8"/>
        <v>21</v>
      </c>
    </row>
    <row r="71" spans="1:22" x14ac:dyDescent="0.25">
      <c r="A71" t="s">
        <v>61</v>
      </c>
      <c r="B71" t="s">
        <v>62</v>
      </c>
      <c r="C71" s="7">
        <v>55</v>
      </c>
      <c r="D71" s="7">
        <v>35</v>
      </c>
      <c r="E71" s="60">
        <v>0.85454549999999996</v>
      </c>
      <c r="F71" s="60">
        <v>1</v>
      </c>
      <c r="G71" s="60">
        <v>0.84905660000000005</v>
      </c>
      <c r="H71" s="60">
        <v>0.85454549999999996</v>
      </c>
      <c r="I71" s="62">
        <f t="shared" si="2"/>
        <v>20</v>
      </c>
      <c r="J71" s="60">
        <v>0.63636363636363635</v>
      </c>
      <c r="K71" s="60">
        <v>0.36363636363636365</v>
      </c>
      <c r="L71" s="7" t="s">
        <v>227</v>
      </c>
      <c r="M71" s="7" t="s">
        <v>259</v>
      </c>
      <c r="N71" s="61">
        <v>1.3485499999999999</v>
      </c>
      <c r="O71" t="str">
        <f t="shared" si="3"/>
        <v>RKB</v>
      </c>
      <c r="P71" s="26">
        <f t="shared" si="4"/>
        <v>1</v>
      </c>
      <c r="Q71" s="26">
        <f t="shared" si="5"/>
        <v>4</v>
      </c>
      <c r="R71" s="26">
        <f t="shared" si="6"/>
        <v>1</v>
      </c>
      <c r="S71" s="26">
        <f t="shared" si="7"/>
        <v>2</v>
      </c>
      <c r="T71" s="46">
        <f>IF('AAA Summary'!$L$35=4, RANK(H71,H$8:H$82,1)+COUNTIF($H$8:H71,H71)-1, IF('AAA Summary'!$L$35=3, RANK(G71,G$8:G$82,1)+COUNTIF($G$8:G71,G71)-1, IF('AAA Summary'!$L$35=2, RANK(F71,F$8:F$82,1)+COUNTIF($F$8:F71,F71)-1, IF('AAA Summary'!$L$35=1, RANK(E71,E$8:E$82,1)+COUNTIF($E$8:E71,E71)-1))))</f>
        <v>16</v>
      </c>
      <c r="U71" s="34">
        <f>IF('AAA Summary'!$L$35=4, H71, IF('AAA Summary'!$L$35=3, G71, IF('AAA Summary'!$L$35=2, F71, IF('AAA Summary'!$L$35=1, E71))))</f>
        <v>0.85454549999999996</v>
      </c>
      <c r="V71">
        <f t="shared" si="8"/>
        <v>28</v>
      </c>
    </row>
    <row r="72" spans="1:22" x14ac:dyDescent="0.25">
      <c r="A72" t="s">
        <v>501</v>
      </c>
      <c r="B72" t="s">
        <v>502</v>
      </c>
      <c r="C72" s="7">
        <v>50</v>
      </c>
      <c r="D72" s="7">
        <v>29</v>
      </c>
      <c r="E72" s="60">
        <v>0.98</v>
      </c>
      <c r="F72" s="60">
        <v>1</v>
      </c>
      <c r="G72" s="60">
        <v>0.97959180000000001</v>
      </c>
      <c r="H72" s="60">
        <v>0.98</v>
      </c>
      <c r="I72" s="62">
        <f t="shared" si="2"/>
        <v>21</v>
      </c>
      <c r="J72" s="60">
        <v>0.57999999999999996</v>
      </c>
      <c r="K72" s="60">
        <v>0.42</v>
      </c>
      <c r="L72" s="7" t="s">
        <v>237</v>
      </c>
      <c r="M72" s="7" t="s">
        <v>259</v>
      </c>
      <c r="N72" s="61">
        <v>1.37741</v>
      </c>
      <c r="O72" t="str">
        <f t="shared" si="3"/>
        <v>R0D</v>
      </c>
      <c r="P72" s="26">
        <f t="shared" si="4"/>
        <v>3</v>
      </c>
      <c r="Q72" s="26">
        <f t="shared" si="5"/>
        <v>4</v>
      </c>
      <c r="R72" s="26">
        <f t="shared" si="6"/>
        <v>3</v>
      </c>
      <c r="S72" s="26">
        <f t="shared" si="7"/>
        <v>4</v>
      </c>
      <c r="T72" s="46">
        <f>IF('AAA Summary'!$L$35=4, RANK(H72,H$8:H$82,1)+COUNTIF($H$8:H72,H72)-1, IF('AAA Summary'!$L$35=3, RANK(G72,G$8:G$82,1)+COUNTIF($G$8:G72,G72)-1, IF('AAA Summary'!$L$35=2, RANK(F72,F$8:F$82,1)+COUNTIF($F$8:F72,F72)-1, IF('AAA Summary'!$L$35=1, RANK(E72,E$8:E$82,1)+COUNTIF($E$8:E72,E72)-1))))</f>
        <v>45</v>
      </c>
      <c r="U72" s="34">
        <f>IF('AAA Summary'!$L$35=4, H72, IF('AAA Summary'!$L$35=3, G72, IF('AAA Summary'!$L$35=2, F72, IF('AAA Summary'!$L$35=1, E72))))</f>
        <v>0.98</v>
      </c>
      <c r="V72">
        <f t="shared" si="8"/>
        <v>37</v>
      </c>
    </row>
    <row r="73" spans="1:22" x14ac:dyDescent="0.25">
      <c r="A73" t="s">
        <v>95</v>
      </c>
      <c r="B73" t="s">
        <v>285</v>
      </c>
      <c r="C73" s="7">
        <v>23</v>
      </c>
      <c r="D73" s="7">
        <v>13</v>
      </c>
      <c r="E73" s="60">
        <v>1</v>
      </c>
      <c r="F73" s="60">
        <v>1</v>
      </c>
      <c r="G73" s="60">
        <v>1</v>
      </c>
      <c r="H73" s="60">
        <v>1</v>
      </c>
      <c r="I73" s="62">
        <f t="shared" ref="I73:I78" si="9">C73-D73</f>
        <v>10</v>
      </c>
      <c r="J73" s="60">
        <v>0.56521739130434778</v>
      </c>
      <c r="K73" s="60">
        <v>0.43478260869565216</v>
      </c>
      <c r="L73" s="7" t="s">
        <v>183</v>
      </c>
      <c r="M73" s="7" t="s">
        <v>265</v>
      </c>
      <c r="N73" s="61">
        <v>1.39876</v>
      </c>
      <c r="O73" t="str">
        <f t="shared" ref="O73:O78" si="10">A73</f>
        <v>RTG</v>
      </c>
      <c r="P73" s="26">
        <f t="shared" ref="P73:P78" si="11">+IF(E73&lt;E$2,1,IF(E73&lt;E$3,2,IF(E73&lt;E$4,3,4)))</f>
        <v>4</v>
      </c>
      <c r="Q73" s="26">
        <f t="shared" ref="Q73:Q78" si="12">+IF(F73&lt;F$2,1,IF(F73&lt;F$3,2,IF(F73&lt;F$4,3,4)))</f>
        <v>4</v>
      </c>
      <c r="R73" s="26">
        <f t="shared" ref="R73:R78" si="13">+IF(G73&lt;G$2,1,IF(G73&lt;G$3,2,IF(G73&lt;G$4,3,4)))</f>
        <v>4</v>
      </c>
      <c r="S73" s="26">
        <f t="shared" ref="S73:S78" si="14">+IF(H73&lt;H$2,1,IF(H73&lt;H$3,2,IF(H73&lt;H$4,3,4)))</f>
        <v>4</v>
      </c>
      <c r="T73" s="46">
        <f>IF('AAA Summary'!$L$35=4, RANK(H73,H$8:H$82,1)+COUNTIF($H$8:H73,H73)-1, IF('AAA Summary'!$L$35=3, RANK(G73,G$8:G$82,1)+COUNTIF($G$8:G73,G73)-1, IF('AAA Summary'!$L$35=2, RANK(F73,F$8:F$82,1)+COUNTIF($F$8:F73,F73)-1, IF('AAA Summary'!$L$35=1, RANK(E73,E$8:E$82,1)+COUNTIF($E$8:E73,E73)-1))))</f>
        <v>68</v>
      </c>
      <c r="U73" s="34">
        <f>IF('AAA Summary'!$L$35=4, H73, IF('AAA Summary'!$L$35=3, G73, IF('AAA Summary'!$L$35=2, F73, IF('AAA Summary'!$L$35=1, E73))))</f>
        <v>1</v>
      </c>
      <c r="V73">
        <f t="shared" ref="V73:V78" si="15">RANK(J73,$J$8:$J$78)</f>
        <v>39</v>
      </c>
    </row>
    <row r="74" spans="1:22" x14ac:dyDescent="0.25">
      <c r="A74" t="s">
        <v>109</v>
      </c>
      <c r="B74" t="s">
        <v>110</v>
      </c>
      <c r="C74" s="7">
        <v>39</v>
      </c>
      <c r="D74" s="7">
        <v>22</v>
      </c>
      <c r="E74" s="60">
        <v>0.7179487</v>
      </c>
      <c r="F74" s="60">
        <v>1</v>
      </c>
      <c r="G74" s="60">
        <v>0.7179487</v>
      </c>
      <c r="H74" s="60">
        <v>0.94871799999999995</v>
      </c>
      <c r="I74" s="62">
        <f t="shared" si="9"/>
        <v>17</v>
      </c>
      <c r="J74" s="60">
        <v>0.5641025641025641</v>
      </c>
      <c r="K74" s="60">
        <v>0.4358974358974359</v>
      </c>
      <c r="L74" s="7" t="s">
        <v>220</v>
      </c>
      <c r="M74" s="7" t="s">
        <v>259</v>
      </c>
      <c r="N74" s="61">
        <v>1.3703399999999999</v>
      </c>
      <c r="O74" t="str">
        <f t="shared" si="10"/>
        <v>RWE</v>
      </c>
      <c r="P74" s="26">
        <f t="shared" si="11"/>
        <v>1</v>
      </c>
      <c r="Q74" s="26">
        <f t="shared" si="12"/>
        <v>4</v>
      </c>
      <c r="R74" s="26">
        <f t="shared" si="13"/>
        <v>1</v>
      </c>
      <c r="S74" s="26">
        <f t="shared" si="14"/>
        <v>3</v>
      </c>
      <c r="T74" s="46">
        <f>IF('AAA Summary'!$L$35=4, RANK(H74,H$8:H$82,1)+COUNTIF($H$8:H74,H74)-1, IF('AAA Summary'!$L$35=3, RANK(G74,G$8:G$82,1)+COUNTIF($G$8:G74,G74)-1, IF('AAA Summary'!$L$35=2, RANK(F74,F$8:F$82,1)+COUNTIF($F$8:F74,F74)-1, IF('AAA Summary'!$L$35=1, RANK(E74,E$8:E$82,1)+COUNTIF($E$8:E74,E74)-1))))</f>
        <v>8</v>
      </c>
      <c r="U74" s="34">
        <f>IF('AAA Summary'!$L$35=4, H74, IF('AAA Summary'!$L$35=3, G74, IF('AAA Summary'!$L$35=2, F74, IF('AAA Summary'!$L$35=1, E74))))</f>
        <v>0.7179487</v>
      </c>
      <c r="V74">
        <f t="shared" si="15"/>
        <v>41</v>
      </c>
    </row>
    <row r="75" spans="1:22" x14ac:dyDescent="0.25">
      <c r="A75" t="s">
        <v>60</v>
      </c>
      <c r="B75" t="s">
        <v>169</v>
      </c>
      <c r="C75" s="7">
        <v>24</v>
      </c>
      <c r="D75" s="7">
        <v>10</v>
      </c>
      <c r="E75" s="60">
        <v>0.875</v>
      </c>
      <c r="F75" s="60">
        <v>0.95833330000000005</v>
      </c>
      <c r="G75" s="60">
        <v>0.85</v>
      </c>
      <c r="H75" s="60">
        <v>0.95833330000000005</v>
      </c>
      <c r="I75" s="62">
        <f t="shared" si="9"/>
        <v>14</v>
      </c>
      <c r="J75" s="60">
        <v>0.41666666666666669</v>
      </c>
      <c r="K75" s="60">
        <v>0.58333333333333337</v>
      </c>
      <c r="L75" s="7" t="s">
        <v>194</v>
      </c>
      <c r="M75" s="7" t="s">
        <v>182</v>
      </c>
      <c r="N75" s="61">
        <v>1.0355300000000001</v>
      </c>
      <c r="O75" t="str">
        <f t="shared" si="10"/>
        <v>RK9</v>
      </c>
      <c r="P75" s="26">
        <f t="shared" si="11"/>
        <v>2</v>
      </c>
      <c r="Q75" s="26">
        <f t="shared" si="12"/>
        <v>1</v>
      </c>
      <c r="R75" s="26">
        <f t="shared" si="13"/>
        <v>1</v>
      </c>
      <c r="S75" s="26">
        <f t="shared" si="14"/>
        <v>3</v>
      </c>
      <c r="T75" s="46">
        <f>IF('AAA Summary'!$L$35=4, RANK(H75,H$8:H$82,1)+COUNTIF($H$8:H75,H75)-1, IF('AAA Summary'!$L$35=3, RANK(G75,G$8:G$82,1)+COUNTIF($G$8:G75,G75)-1, IF('AAA Summary'!$L$35=2, RANK(F75,F$8:F$82,1)+COUNTIF($F$8:F75,F75)-1, IF('AAA Summary'!$L$35=1, RANK(E75,E$8:E$82,1)+COUNTIF($E$8:E75,E75)-1))))</f>
        <v>20</v>
      </c>
      <c r="U75" s="34">
        <f>IF('AAA Summary'!$L$35=4, H75, IF('AAA Summary'!$L$35=3, G75, IF('AAA Summary'!$L$35=2, F75, IF('AAA Summary'!$L$35=1, E75))))</f>
        <v>0.875</v>
      </c>
      <c r="V75">
        <f t="shared" si="15"/>
        <v>57</v>
      </c>
    </row>
    <row r="76" spans="1:22" x14ac:dyDescent="0.25">
      <c r="A76" t="s">
        <v>111</v>
      </c>
      <c r="B76" t="s">
        <v>112</v>
      </c>
      <c r="C76" s="7">
        <v>16</v>
      </c>
      <c r="D76" s="7">
        <v>12</v>
      </c>
      <c r="E76" s="60">
        <v>1</v>
      </c>
      <c r="F76" s="60">
        <v>0.9375</v>
      </c>
      <c r="G76" s="60">
        <v>1</v>
      </c>
      <c r="H76" s="60">
        <v>0.9375</v>
      </c>
      <c r="I76" s="62">
        <f t="shared" si="9"/>
        <v>4</v>
      </c>
      <c r="J76" s="60">
        <v>0.75</v>
      </c>
      <c r="K76" s="60">
        <v>0.25</v>
      </c>
      <c r="L76" s="7" t="s">
        <v>236</v>
      </c>
      <c r="M76" s="7" t="s">
        <v>522</v>
      </c>
      <c r="N76" s="61">
        <v>2.0322300000000002</v>
      </c>
      <c r="O76" t="str">
        <f t="shared" si="10"/>
        <v>RWG</v>
      </c>
      <c r="P76" s="26">
        <f t="shared" si="11"/>
        <v>4</v>
      </c>
      <c r="Q76" s="26">
        <f t="shared" si="12"/>
        <v>1</v>
      </c>
      <c r="R76" s="26">
        <f t="shared" si="13"/>
        <v>4</v>
      </c>
      <c r="S76" s="26">
        <f t="shared" si="14"/>
        <v>3</v>
      </c>
      <c r="T76" s="46">
        <f>IF('AAA Summary'!$L$35=4, RANK(H76,H$8:H$82,1)+COUNTIF($H$8:H76,H76)-1, IF('AAA Summary'!$L$35=3, RANK(G76,G$8:G$82,1)+COUNTIF($G$8:G76,G76)-1, IF('AAA Summary'!$L$35=2, RANK(F76,F$8:F$82,1)+COUNTIF($F$8:F76,F76)-1, IF('AAA Summary'!$L$35=1, RANK(E76,E$8:E$82,1)+COUNTIF($E$8:E76,E76)-1))))</f>
        <v>69</v>
      </c>
      <c r="U76" s="34">
        <f>IF('AAA Summary'!$L$35=4, H76, IF('AAA Summary'!$L$35=3, G76, IF('AAA Summary'!$L$35=2, F76, IF('AAA Summary'!$L$35=1, E76))))</f>
        <v>1</v>
      </c>
      <c r="V76">
        <f t="shared" si="15"/>
        <v>18</v>
      </c>
    </row>
    <row r="77" spans="1:22" x14ac:dyDescent="0.25">
      <c r="A77" t="s">
        <v>115</v>
      </c>
      <c r="B77" t="s">
        <v>116</v>
      </c>
      <c r="C77" s="7">
        <v>48</v>
      </c>
      <c r="D77" s="7">
        <v>26</v>
      </c>
      <c r="E77" s="60">
        <v>1</v>
      </c>
      <c r="F77" s="60">
        <v>1</v>
      </c>
      <c r="G77" s="60">
        <v>1</v>
      </c>
      <c r="H77" s="60">
        <v>0.85416669999999995</v>
      </c>
      <c r="I77" s="62">
        <f t="shared" si="9"/>
        <v>22</v>
      </c>
      <c r="J77" s="60">
        <v>0.54166666666666663</v>
      </c>
      <c r="K77" s="60">
        <v>0.45833333333333331</v>
      </c>
      <c r="L77" s="7" t="s">
        <v>248</v>
      </c>
      <c r="M77" s="7" t="s">
        <v>266</v>
      </c>
      <c r="N77" s="61">
        <v>0.52122999999999997</v>
      </c>
      <c r="O77" t="str">
        <f t="shared" si="10"/>
        <v>RWP</v>
      </c>
      <c r="P77" s="26">
        <f t="shared" si="11"/>
        <v>4</v>
      </c>
      <c r="Q77" s="26">
        <f t="shared" si="12"/>
        <v>4</v>
      </c>
      <c r="R77" s="26">
        <f t="shared" si="13"/>
        <v>4</v>
      </c>
      <c r="S77" s="26">
        <f t="shared" si="14"/>
        <v>2</v>
      </c>
      <c r="T77" s="46">
        <f>IF('AAA Summary'!$L$35=4, RANK(H77,H$8:H$82,1)+COUNTIF($H$8:H77,H77)-1, IF('AAA Summary'!$L$35=3, RANK(G77,G$8:G$82,1)+COUNTIF($G$8:G77,G77)-1, IF('AAA Summary'!$L$35=2, RANK(F77,F$8:F$82,1)+COUNTIF($F$8:F77,F77)-1, IF('AAA Summary'!$L$35=1, RANK(E77,E$8:E$82,1)+COUNTIF($E$8:E77,E77)-1))))</f>
        <v>70</v>
      </c>
      <c r="U77" s="34">
        <f>IF('AAA Summary'!$L$35=4, H77, IF('AAA Summary'!$L$35=3, G77, IF('AAA Summary'!$L$35=2, F77, IF('AAA Summary'!$L$35=1, E77))))</f>
        <v>1</v>
      </c>
      <c r="V77">
        <f t="shared" si="15"/>
        <v>44</v>
      </c>
    </row>
    <row r="78" spans="1:22" x14ac:dyDescent="0.25">
      <c r="A78" t="s">
        <v>25</v>
      </c>
      <c r="B78" t="s">
        <v>26</v>
      </c>
      <c r="C78" s="7">
        <v>26</v>
      </c>
      <c r="D78" s="7">
        <v>7</v>
      </c>
      <c r="E78" s="60">
        <v>0.76923079999999999</v>
      </c>
      <c r="F78" s="60">
        <v>0.96153840000000002</v>
      </c>
      <c r="G78" s="60">
        <v>0.85</v>
      </c>
      <c r="H78" s="60">
        <v>0.76923079999999999</v>
      </c>
      <c r="I78" s="62">
        <f t="shared" si="9"/>
        <v>19</v>
      </c>
      <c r="J78" s="60">
        <v>0.26923076923076922</v>
      </c>
      <c r="K78" s="60">
        <v>0.73076923076923073</v>
      </c>
      <c r="L78" s="7" t="s">
        <v>509</v>
      </c>
      <c r="M78" s="7" t="s">
        <v>510</v>
      </c>
      <c r="N78" s="61">
        <v>1.36802</v>
      </c>
      <c r="O78" t="str">
        <f t="shared" si="10"/>
        <v>RCB</v>
      </c>
      <c r="P78" s="26">
        <f t="shared" si="11"/>
        <v>1</v>
      </c>
      <c r="Q78" s="26">
        <f t="shared" si="12"/>
        <v>1</v>
      </c>
      <c r="R78" s="26">
        <f t="shared" si="13"/>
        <v>1</v>
      </c>
      <c r="S78" s="26">
        <f t="shared" si="14"/>
        <v>1</v>
      </c>
      <c r="T78" s="46">
        <f>IF('AAA Summary'!$L$35=4, RANK(H78,H$8:H$82,1)+COUNTIF($H$8:H78,H78)-1, IF('AAA Summary'!$L$35=3, RANK(G78,G$8:G$82,1)+COUNTIF($G$8:G78,G78)-1, IF('AAA Summary'!$L$35=2, RANK(F78,F$8:F$82,1)+COUNTIF($F$8:F78,F78)-1, IF('AAA Summary'!$L$35=1, RANK(E78,E$8:E$82,1)+COUNTIF($E$8:E78,E78)-1))))</f>
        <v>9</v>
      </c>
      <c r="U78" s="34">
        <f>IF('AAA Summary'!$L$35=4, H78, IF('AAA Summary'!$L$35=3, G78, IF('AAA Summary'!$L$35=2, F78, IF('AAA Summary'!$L$35=1, E78))))</f>
        <v>0.76923079999999999</v>
      </c>
      <c r="V78">
        <f t="shared" si="15"/>
        <v>64</v>
      </c>
    </row>
  </sheetData>
  <sortState ref="A2:K72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"/>
  <sheetViews>
    <sheetView workbookViewId="0">
      <pane xSplit="1" ySplit="7" topLeftCell="G23" activePane="bottomRight" state="frozen"/>
      <selection pane="topRight" activeCell="B1" sqref="B1"/>
      <selection pane="bottomLeft" activeCell="A2" sqref="A2"/>
      <selection pane="bottomRight" activeCell="T33" sqref="T33"/>
    </sheetView>
  </sheetViews>
  <sheetFormatPr defaultRowHeight="15" x14ac:dyDescent="0.25"/>
  <cols>
    <col min="1" max="1" width="10.85546875" customWidth="1"/>
    <col min="2" max="2" width="63.7109375" bestFit="1" customWidth="1"/>
    <col min="3" max="3" width="11.85546875" customWidth="1"/>
    <col min="4" max="4" width="13.42578125" customWidth="1"/>
    <col min="5" max="5" width="12.5703125" customWidth="1"/>
    <col min="6" max="6" width="16.42578125" customWidth="1"/>
    <col min="7" max="7" width="22" customWidth="1"/>
    <col min="8" max="8" width="13.28515625" customWidth="1"/>
    <col min="9" max="9" width="19.85546875" customWidth="1"/>
    <col min="10" max="12" width="15.5703125" bestFit="1" customWidth="1"/>
    <col min="13" max="13" width="20.85546875" customWidth="1"/>
    <col min="14" max="14" width="18.28515625" customWidth="1"/>
    <col min="15" max="15" width="17.42578125" customWidth="1"/>
    <col min="16" max="16" width="10.85546875" customWidth="1"/>
    <col min="37" max="37" width="22" customWidth="1"/>
  </cols>
  <sheetData>
    <row r="1" spans="1:37" x14ac:dyDescent="0.25">
      <c r="A1">
        <v>0</v>
      </c>
      <c r="B1" t="s">
        <v>318</v>
      </c>
      <c r="E1">
        <f t="shared" ref="E1:H5" si="0">QUARTILE(E$8:E$82,$A1)</f>
        <v>0.28000000000000003</v>
      </c>
      <c r="F1">
        <f t="shared" si="0"/>
        <v>0</v>
      </c>
      <c r="G1">
        <f t="shared" si="0"/>
        <v>0.31</v>
      </c>
      <c r="H1">
        <f t="shared" si="0"/>
        <v>0.24</v>
      </c>
    </row>
    <row r="2" spans="1:37" x14ac:dyDescent="0.25">
      <c r="A2">
        <v>1</v>
      </c>
      <c r="B2" t="s">
        <v>319</v>
      </c>
      <c r="E2">
        <f t="shared" si="0"/>
        <v>0.88</v>
      </c>
      <c r="F2">
        <f t="shared" si="0"/>
        <v>0.96499999999999997</v>
      </c>
      <c r="G2">
        <f t="shared" si="0"/>
        <v>0.88500000000000001</v>
      </c>
      <c r="H2">
        <f t="shared" si="0"/>
        <v>0.79</v>
      </c>
    </row>
    <row r="3" spans="1:37" x14ac:dyDescent="0.25">
      <c r="A3">
        <v>2</v>
      </c>
      <c r="B3" t="s">
        <v>320</v>
      </c>
      <c r="E3">
        <f t="shared" si="0"/>
        <v>0.94</v>
      </c>
      <c r="F3">
        <f t="shared" si="0"/>
        <v>0.99</v>
      </c>
      <c r="G3">
        <f t="shared" si="0"/>
        <v>0.95</v>
      </c>
      <c r="H3">
        <f t="shared" si="0"/>
        <v>0.9</v>
      </c>
    </row>
    <row r="4" spans="1:37" x14ac:dyDescent="0.25">
      <c r="A4">
        <v>3</v>
      </c>
      <c r="B4" t="s">
        <v>321</v>
      </c>
      <c r="E4">
        <f t="shared" si="0"/>
        <v>0.98</v>
      </c>
      <c r="F4">
        <f t="shared" si="0"/>
        <v>1</v>
      </c>
      <c r="G4">
        <f t="shared" si="0"/>
        <v>0.99</v>
      </c>
      <c r="H4">
        <f t="shared" si="0"/>
        <v>0.95499999999999996</v>
      </c>
    </row>
    <row r="5" spans="1:37" x14ac:dyDescent="0.25">
      <c r="A5">
        <v>4</v>
      </c>
      <c r="B5" t="s">
        <v>322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6" spans="1:37" ht="15.75" thickBot="1" x14ac:dyDescent="0.3"/>
    <row r="7" spans="1:37" ht="75.75" thickBot="1" x14ac:dyDescent="0.3">
      <c r="A7" s="5" t="s">
        <v>150</v>
      </c>
      <c r="B7" s="5" t="s">
        <v>149</v>
      </c>
      <c r="C7" s="4" t="s">
        <v>158</v>
      </c>
      <c r="D7" s="4" t="s">
        <v>159</v>
      </c>
      <c r="E7" s="5" t="s">
        <v>166</v>
      </c>
      <c r="F7" s="4" t="s">
        <v>160</v>
      </c>
      <c r="G7" s="4" t="s">
        <v>161</v>
      </c>
      <c r="H7" s="4" t="s">
        <v>162</v>
      </c>
      <c r="I7" s="5" t="s">
        <v>163</v>
      </c>
      <c r="J7" s="13" t="s">
        <v>495</v>
      </c>
      <c r="K7" s="5" t="s">
        <v>477</v>
      </c>
      <c r="L7" s="5" t="s">
        <v>478</v>
      </c>
      <c r="M7" s="5" t="s">
        <v>164</v>
      </c>
      <c r="N7" s="5" t="s">
        <v>165</v>
      </c>
      <c r="O7" s="5" t="s">
        <v>250</v>
      </c>
      <c r="P7" s="5" t="s">
        <v>150</v>
      </c>
      <c r="Q7" s="13" t="s">
        <v>323</v>
      </c>
      <c r="R7" s="31" t="s">
        <v>324</v>
      </c>
      <c r="S7" s="31" t="s">
        <v>325</v>
      </c>
      <c r="T7" s="31" t="s">
        <v>326</v>
      </c>
      <c r="U7" s="31" t="s">
        <v>337</v>
      </c>
      <c r="V7" s="31" t="s">
        <v>345</v>
      </c>
      <c r="W7" s="24" t="s">
        <v>479</v>
      </c>
      <c r="X7" s="24" t="s">
        <v>480</v>
      </c>
      <c r="Y7" s="24" t="s">
        <v>483</v>
      </c>
      <c r="Z7" s="23" t="s">
        <v>305</v>
      </c>
      <c r="AA7" s="23" t="s">
        <v>313</v>
      </c>
      <c r="AB7" s="23" t="s">
        <v>314</v>
      </c>
      <c r="AC7" s="25" t="s">
        <v>295</v>
      </c>
      <c r="AD7" s="23" t="s">
        <v>296</v>
      </c>
      <c r="AE7" s="29" t="s">
        <v>306</v>
      </c>
      <c r="AF7" s="24" t="s">
        <v>481</v>
      </c>
      <c r="AG7" s="33" t="s">
        <v>348</v>
      </c>
      <c r="AH7" s="33" t="s">
        <v>349</v>
      </c>
      <c r="AI7" s="33" t="s">
        <v>350</v>
      </c>
      <c r="AJ7" s="33" t="s">
        <v>482</v>
      </c>
      <c r="AK7" s="16" t="s">
        <v>494</v>
      </c>
    </row>
    <row r="8" spans="1:37" x14ac:dyDescent="0.25">
      <c r="A8" t="s">
        <v>6</v>
      </c>
      <c r="B8" t="s">
        <v>7</v>
      </c>
      <c r="C8" s="50">
        <v>44</v>
      </c>
      <c r="D8" s="50">
        <v>28</v>
      </c>
      <c r="E8" s="51">
        <v>0.98</v>
      </c>
      <c r="F8" s="51">
        <v>0.95</v>
      </c>
      <c r="G8" s="51">
        <v>0.97</v>
      </c>
      <c r="H8" s="51">
        <v>0.91</v>
      </c>
      <c r="I8" s="27" t="s">
        <v>380</v>
      </c>
      <c r="J8">
        <v>44.2</v>
      </c>
      <c r="K8">
        <v>29.099999999999998</v>
      </c>
      <c r="L8">
        <v>60.099999999999994</v>
      </c>
      <c r="M8" s="27" t="s">
        <v>379</v>
      </c>
      <c r="N8" s="27" t="s">
        <v>194</v>
      </c>
      <c r="O8" s="52">
        <v>1.6E-2</v>
      </c>
      <c r="P8" s="27" t="str">
        <f>A8</f>
        <v>7A6</v>
      </c>
      <c r="Q8" s="26">
        <f t="shared" ref="Q8:Q39" si="1">+IF(E8&lt;E$2,1,IF(E8&lt;E$3,2,IF(E8&lt;E$4,3,4)))</f>
        <v>4</v>
      </c>
      <c r="R8" s="26">
        <f t="shared" ref="R8:R39" si="2">+IF(F8&lt;F$2,1,IF(F8&lt;F$3,2,IF(F8&lt;F$4,3,4)))</f>
        <v>1</v>
      </c>
      <c r="S8" s="26">
        <f t="shared" ref="S8:S39" si="3">+IF(G8&lt;G$2,1,IF(G8&lt;G$3,2,IF(G8&lt;G$4,3,4)))</f>
        <v>3</v>
      </c>
      <c r="T8" s="26">
        <f t="shared" ref="T8:T71" si="4">+IF(H8&lt;H$2,1,IF(H8&lt;H$3,2,IF(H8&lt;H$4,3,4)))</f>
        <v>3</v>
      </c>
      <c r="U8" s="46">
        <f>IF('AAA Summary'!$L$35=4, RANK(H8,H$8:H$82,1)+COUNTIF($H$8:H8,H8)-1, IF('AAA Summary'!$L$35=3, RANK(G8,G$8:G$82,1)+COUNTIF($G$8:G8,G8)-1, IF('AAA Summary'!$L$35=2, RANK(F8,F$8:F$82,1)+COUNTIF($F$8:F8,F8)-1, IF('AAA Summary'!$L$35=1, RANK(E8,E$8:E$82,1)+COUNTIF($E$8:E8,E8)-1))))</f>
        <v>54</v>
      </c>
      <c r="V8" s="34">
        <f>IF('AAA Summary'!$L$35=4, H8, IF('AAA Summary'!$L$35=3, G8, IF('AAA Summary'!$L$35=2, F8, IF('AAA Summary'!$L$35=1, E8))))</f>
        <v>0.98</v>
      </c>
      <c r="W8" s="11">
        <f>J8-K8</f>
        <v>15.100000000000005</v>
      </c>
      <c r="X8" s="11">
        <f>L8-J8</f>
        <v>15.899999999999991</v>
      </c>
      <c r="Y8" s="11">
        <v>80</v>
      </c>
      <c r="Z8" s="11">
        <v>67</v>
      </c>
      <c r="AA8" s="11">
        <v>41</v>
      </c>
      <c r="AB8" s="11">
        <v>99</v>
      </c>
      <c r="AC8" s="11">
        <f t="shared" ref="AC8:AC28" si="5">Z8-AA8</f>
        <v>26</v>
      </c>
      <c r="AD8" s="11">
        <f>AB8-Z8</f>
        <v>32</v>
      </c>
      <c r="AE8" s="11">
        <v>56</v>
      </c>
      <c r="AF8">
        <v>38</v>
      </c>
      <c r="AG8" s="46" t="b">
        <f>IF('AAA Summary'!$L$4=2, J8, IF('AAA Summary'!$L$4=1, Z8))</f>
        <v>0</v>
      </c>
      <c r="AH8" s="46" t="b">
        <f>IF('AAA Summary'!$L$4=2, W8, IF('AAA Summary'!$L$4=1, AC8))</f>
        <v>0</v>
      </c>
      <c r="AI8" s="46" t="b">
        <f>IF('AAA Summary'!$L$4=2, X8, IF('AAA Summary'!$L$4=1, AD8))</f>
        <v>0</v>
      </c>
      <c r="AJ8" s="46" t="b">
        <f>IF('AAA Summary'!$L$4=2, Y8, IF('AAA Summary'!$L$4=1, AE8))</f>
        <v>0</v>
      </c>
      <c r="AK8" s="8">
        <v>0.442</v>
      </c>
    </row>
    <row r="9" spans="1:37" x14ac:dyDescent="0.25">
      <c r="A9" t="s">
        <v>97</v>
      </c>
      <c r="B9" t="s">
        <v>352</v>
      </c>
      <c r="C9" s="50">
        <v>30</v>
      </c>
      <c r="D9" s="50">
        <v>23</v>
      </c>
      <c r="E9" s="51">
        <v>0.97</v>
      </c>
      <c r="F9" s="51">
        <v>0.93</v>
      </c>
      <c r="G9" s="51">
        <v>1</v>
      </c>
      <c r="H9" s="51">
        <v>0.9</v>
      </c>
      <c r="I9" s="27" t="s">
        <v>381</v>
      </c>
      <c r="J9">
        <v>20.7</v>
      </c>
      <c r="K9">
        <v>8</v>
      </c>
      <c r="L9">
        <v>39.700000000000003</v>
      </c>
      <c r="M9" s="27" t="s">
        <v>261</v>
      </c>
      <c r="N9" s="27" t="s">
        <v>189</v>
      </c>
      <c r="O9" s="52">
        <v>0</v>
      </c>
      <c r="P9" s="27" t="str">
        <f t="shared" ref="P9:P72" si="6">A9</f>
        <v>RTK</v>
      </c>
      <c r="Q9" s="26">
        <f t="shared" si="1"/>
        <v>3</v>
      </c>
      <c r="R9" s="26">
        <f t="shared" si="2"/>
        <v>1</v>
      </c>
      <c r="S9" s="26">
        <f t="shared" si="3"/>
        <v>4</v>
      </c>
      <c r="T9" s="26">
        <f t="shared" si="4"/>
        <v>3</v>
      </c>
      <c r="U9" s="46">
        <f>IF('AAA Summary'!$L$35=4, RANK(H9,H$8:H$82,1)+COUNTIF($H$8:H9,H9)-1, IF('AAA Summary'!$L$35=3, RANK(G9,G$8:G$82,1)+COUNTIF($G$8:G9,G9)-1, IF('AAA Summary'!$L$35=2, RANK(F9,F$8:F$82,1)+COUNTIF($F$8:F9,F9)-1, IF('AAA Summary'!$L$35=1, RANK(E9,E$8:E$82,1)+COUNTIF($E$8:E9,E9)-1))))</f>
        <v>50</v>
      </c>
      <c r="V9" s="34">
        <f>IF('AAA Summary'!$L$35=4, H9, IF('AAA Summary'!$L$35=3, G9, IF('AAA Summary'!$L$35=2, F9, IF('AAA Summary'!$L$35=1, E9))))</f>
        <v>0.97</v>
      </c>
      <c r="W9" s="11">
        <f t="shared" ref="W9:W72" si="7">J9-K9</f>
        <v>12.7</v>
      </c>
      <c r="X9" s="11">
        <f t="shared" ref="X9:X72" si="8">L9-J9</f>
        <v>19.000000000000004</v>
      </c>
      <c r="Y9" s="11">
        <v>80</v>
      </c>
      <c r="Z9" s="11">
        <v>108</v>
      </c>
      <c r="AA9" s="11">
        <v>76</v>
      </c>
      <c r="AB9" s="11">
        <v>174</v>
      </c>
      <c r="AC9" s="11">
        <f t="shared" si="5"/>
        <v>32</v>
      </c>
      <c r="AD9" s="11">
        <f t="shared" ref="AD9:AD72" si="9">AB9-Z9</f>
        <v>66</v>
      </c>
      <c r="AE9" s="11">
        <v>56</v>
      </c>
      <c r="AF9">
        <v>68</v>
      </c>
      <c r="AG9" s="46" t="b">
        <f>IF('AAA Summary'!$L$4=2, J9, IF('AAA Summary'!$L$4=1, Z9))</f>
        <v>0</v>
      </c>
      <c r="AH9" s="46" t="b">
        <f>IF('AAA Summary'!$L$4=2, W9, IF('AAA Summary'!$L$4=1, AC9))</f>
        <v>0</v>
      </c>
      <c r="AI9" s="46" t="b">
        <f>IF('AAA Summary'!$L$4=2, X9, IF('AAA Summary'!$L$4=1, AD9))</f>
        <v>0</v>
      </c>
      <c r="AJ9" s="46" t="b">
        <f>IF('AAA Summary'!$L$4=2, Y9, IF('AAA Summary'!$L$4=1, AE9))</f>
        <v>0</v>
      </c>
      <c r="AK9" s="8">
        <v>0.20699999999999999</v>
      </c>
    </row>
    <row r="10" spans="1:37" x14ac:dyDescent="0.25">
      <c r="A10" t="s">
        <v>35</v>
      </c>
      <c r="B10" t="s">
        <v>353</v>
      </c>
      <c r="C10" s="50">
        <v>20</v>
      </c>
      <c r="D10" s="50">
        <v>19</v>
      </c>
      <c r="E10" s="51">
        <v>1</v>
      </c>
      <c r="F10" s="51">
        <v>1</v>
      </c>
      <c r="G10" s="51">
        <v>1</v>
      </c>
      <c r="H10" s="51">
        <v>0.9</v>
      </c>
      <c r="I10" s="27" t="s">
        <v>382</v>
      </c>
      <c r="J10">
        <v>35</v>
      </c>
      <c r="K10">
        <v>15.4</v>
      </c>
      <c r="L10">
        <v>59.199999999999996</v>
      </c>
      <c r="M10" s="27" t="s">
        <v>276</v>
      </c>
      <c r="N10" s="27" t="s">
        <v>235</v>
      </c>
      <c r="O10" s="52">
        <v>1.2E-2</v>
      </c>
      <c r="P10" s="27" t="str">
        <f t="shared" si="6"/>
        <v>RF4</v>
      </c>
      <c r="Q10" s="26">
        <f t="shared" si="1"/>
        <v>4</v>
      </c>
      <c r="R10" s="26">
        <f t="shared" si="2"/>
        <v>4</v>
      </c>
      <c r="S10" s="26">
        <f t="shared" si="3"/>
        <v>4</v>
      </c>
      <c r="T10" s="26">
        <f t="shared" si="4"/>
        <v>3</v>
      </c>
      <c r="U10" s="46">
        <f>IF('AAA Summary'!$L$35=4, RANK(H10,H$8:H$82,1)+COUNTIF($H$8:H10,H10)-1, IF('AAA Summary'!$L$35=3, RANK(G10,G$8:G$82,1)+COUNTIF($G$8:G10,G10)-1, IF('AAA Summary'!$L$35=2, RANK(F10,F$8:F$82,1)+COUNTIF($F$8:F10,F10)-1, IF('AAA Summary'!$L$35=1, RANK(E10,E$8:E$82,1)+COUNTIF($E$8:E10,E10)-1))))</f>
        <v>61</v>
      </c>
      <c r="V10" s="34">
        <f>IF('AAA Summary'!$L$35=4, H10, IF('AAA Summary'!$L$35=3, G10, IF('AAA Summary'!$L$35=2, F10, IF('AAA Summary'!$L$35=1, E10))))</f>
        <v>1</v>
      </c>
      <c r="W10" s="11">
        <f t="shared" si="7"/>
        <v>19.600000000000001</v>
      </c>
      <c r="X10" s="11">
        <f t="shared" si="8"/>
        <v>24.199999999999996</v>
      </c>
      <c r="Y10" s="11">
        <v>80</v>
      </c>
      <c r="Z10" s="11">
        <v>72</v>
      </c>
      <c r="AA10" s="11">
        <v>46</v>
      </c>
      <c r="AB10" s="11">
        <v>128</v>
      </c>
      <c r="AC10" s="11">
        <f t="shared" si="5"/>
        <v>26</v>
      </c>
      <c r="AD10" s="11">
        <f t="shared" si="9"/>
        <v>56</v>
      </c>
      <c r="AE10" s="11">
        <v>56</v>
      </c>
      <c r="AF10">
        <v>41</v>
      </c>
      <c r="AG10" s="46" t="b">
        <f>IF('AAA Summary'!$L$4=2, J10, IF('AAA Summary'!$L$4=1, Z10))</f>
        <v>0</v>
      </c>
      <c r="AH10" s="46" t="b">
        <f>IF('AAA Summary'!$L$4=2, W10, IF('AAA Summary'!$L$4=1, AC10))</f>
        <v>0</v>
      </c>
      <c r="AI10" s="46" t="b">
        <f>IF('AAA Summary'!$L$4=2, X10, IF('AAA Summary'!$L$4=1, AD10))</f>
        <v>0</v>
      </c>
      <c r="AJ10" s="46" t="b">
        <f>IF('AAA Summary'!$L$4=2, Y10, IF('AAA Summary'!$L$4=1, AE10))</f>
        <v>0</v>
      </c>
      <c r="AK10" s="8">
        <v>0.35</v>
      </c>
    </row>
    <row r="11" spans="1:37" x14ac:dyDescent="0.25">
      <c r="A11" t="s">
        <v>10</v>
      </c>
      <c r="B11" t="s">
        <v>11</v>
      </c>
      <c r="C11" s="50">
        <v>29</v>
      </c>
      <c r="D11" s="50">
        <v>14</v>
      </c>
      <c r="E11" s="51">
        <v>0.9</v>
      </c>
      <c r="F11" s="51">
        <v>1</v>
      </c>
      <c r="G11" s="51">
        <v>0.9</v>
      </c>
      <c r="H11" s="51">
        <v>0.93</v>
      </c>
      <c r="I11" s="27" t="s">
        <v>383</v>
      </c>
      <c r="J11">
        <v>57.699999999999996</v>
      </c>
      <c r="K11">
        <v>36.9</v>
      </c>
      <c r="L11">
        <v>76.599999999999994</v>
      </c>
      <c r="M11" s="27" t="s">
        <v>384</v>
      </c>
      <c r="N11" s="27" t="s">
        <v>183</v>
      </c>
      <c r="O11" s="52">
        <v>4.5999999999999999E-2</v>
      </c>
      <c r="P11" s="27" t="str">
        <f t="shared" si="6"/>
        <v>R1H</v>
      </c>
      <c r="Q11" s="26">
        <f t="shared" si="1"/>
        <v>2</v>
      </c>
      <c r="R11" s="26">
        <f t="shared" si="2"/>
        <v>4</v>
      </c>
      <c r="S11" s="26">
        <f t="shared" si="3"/>
        <v>2</v>
      </c>
      <c r="T11" s="26">
        <f t="shared" si="4"/>
        <v>3</v>
      </c>
      <c r="U11" s="46">
        <f>IF('AAA Summary'!$L$35=4, RANK(H11,H$8:H$82,1)+COUNTIF($H$8:H11,H11)-1, IF('AAA Summary'!$L$35=3, RANK(G11,G$8:G$82,1)+COUNTIF($G$8:G11,G11)-1, IF('AAA Summary'!$L$35=2, RANK(F11,F$8:F$82,1)+COUNTIF($F$8:F11,F11)-1, IF('AAA Summary'!$L$35=1, RANK(E11,E$8:E$82,1)+COUNTIF($E$8:E11,E11)-1))))</f>
        <v>25</v>
      </c>
      <c r="V11" s="34">
        <f>IF('AAA Summary'!$L$35=4, H11, IF('AAA Summary'!$L$35=3, G11, IF('AAA Summary'!$L$35=2, F11, IF('AAA Summary'!$L$35=1, E11))))</f>
        <v>0.9</v>
      </c>
      <c r="W11" s="11">
        <f t="shared" si="7"/>
        <v>20.799999999999997</v>
      </c>
      <c r="X11" s="11">
        <f t="shared" si="8"/>
        <v>18.899999999999999</v>
      </c>
      <c r="Y11" s="11">
        <v>80</v>
      </c>
      <c r="Z11" s="11">
        <v>48</v>
      </c>
      <c r="AA11" s="11">
        <v>28</v>
      </c>
      <c r="AB11" s="11">
        <v>103</v>
      </c>
      <c r="AC11" s="11">
        <f t="shared" si="5"/>
        <v>20</v>
      </c>
      <c r="AD11" s="11">
        <f t="shared" si="9"/>
        <v>55</v>
      </c>
      <c r="AE11" s="11">
        <v>56</v>
      </c>
      <c r="AF11">
        <v>14</v>
      </c>
      <c r="AG11" s="46" t="b">
        <f>IF('AAA Summary'!$L$4=2, J11, IF('AAA Summary'!$L$4=1, Z11))</f>
        <v>0</v>
      </c>
      <c r="AH11" s="46" t="b">
        <f>IF('AAA Summary'!$L$4=2, W11, IF('AAA Summary'!$L$4=1, AC11))</f>
        <v>0</v>
      </c>
      <c r="AI11" s="46" t="b">
        <f>IF('AAA Summary'!$L$4=2, X11, IF('AAA Summary'!$L$4=1, AD11))</f>
        <v>0</v>
      </c>
      <c r="AJ11" s="46" t="b">
        <f>IF('AAA Summary'!$L$4=2, Y11, IF('AAA Summary'!$L$4=1, AE11))</f>
        <v>0</v>
      </c>
      <c r="AK11" s="8">
        <v>0.57699999999999996</v>
      </c>
    </row>
    <row r="12" spans="1:37" x14ac:dyDescent="0.25">
      <c r="A12" t="s">
        <v>27</v>
      </c>
      <c r="B12" t="s">
        <v>28</v>
      </c>
      <c r="C12" s="50">
        <v>37</v>
      </c>
      <c r="D12" s="50">
        <v>31</v>
      </c>
      <c r="E12" s="51">
        <v>0.43</v>
      </c>
      <c r="F12" s="51">
        <v>0.95</v>
      </c>
      <c r="G12" s="51">
        <v>0.42</v>
      </c>
      <c r="H12" s="51">
        <v>0.32</v>
      </c>
      <c r="I12" s="27" t="s">
        <v>385</v>
      </c>
      <c r="J12">
        <v>43.8</v>
      </c>
      <c r="K12">
        <v>19.8</v>
      </c>
      <c r="L12">
        <v>70.099999999999994</v>
      </c>
      <c r="M12" s="27" t="s">
        <v>386</v>
      </c>
      <c r="N12" s="27" t="s">
        <v>220</v>
      </c>
      <c r="O12" s="52">
        <v>2.2000000000000002E-2</v>
      </c>
      <c r="P12" s="27" t="str">
        <f t="shared" si="6"/>
        <v>RDD</v>
      </c>
      <c r="Q12" s="26">
        <f t="shared" si="1"/>
        <v>1</v>
      </c>
      <c r="R12" s="26">
        <f t="shared" si="2"/>
        <v>1</v>
      </c>
      <c r="S12" s="26">
        <f t="shared" si="3"/>
        <v>1</v>
      </c>
      <c r="T12" s="26">
        <f t="shared" si="4"/>
        <v>1</v>
      </c>
      <c r="U12" s="46">
        <f>IF('AAA Summary'!$L$35=4, RANK(H12,H$8:H$82,1)+COUNTIF($H$8:H12,H12)-1, IF('AAA Summary'!$L$35=3, RANK(G12,G$8:G$82,1)+COUNTIF($G$8:G12,G12)-1, IF('AAA Summary'!$L$35=2, RANK(F12,F$8:F$82,1)+COUNTIF($F$8:F12,F12)-1, IF('AAA Summary'!$L$35=1, RANK(E12,E$8:E$82,1)+COUNTIF($E$8:E12,E12)-1))))</f>
        <v>2</v>
      </c>
      <c r="V12" s="34">
        <f>IF('AAA Summary'!$L$35=4, H12, IF('AAA Summary'!$L$35=3, G12, IF('AAA Summary'!$L$35=2, F12, IF('AAA Summary'!$L$35=1, E12))))</f>
        <v>0.43</v>
      </c>
      <c r="W12" s="11">
        <f t="shared" si="7"/>
        <v>23.999999999999996</v>
      </c>
      <c r="X12" s="11">
        <f t="shared" si="8"/>
        <v>26.299999999999997</v>
      </c>
      <c r="Y12" s="11">
        <v>80</v>
      </c>
      <c r="Z12" s="11">
        <v>94</v>
      </c>
      <c r="AA12" s="11">
        <v>40</v>
      </c>
      <c r="AB12" s="11">
        <v>132</v>
      </c>
      <c r="AC12" s="11">
        <f t="shared" si="5"/>
        <v>54</v>
      </c>
      <c r="AD12" s="11">
        <f t="shared" si="9"/>
        <v>38</v>
      </c>
      <c r="AE12" s="11">
        <v>56</v>
      </c>
      <c r="AF12">
        <v>65</v>
      </c>
      <c r="AG12" s="46" t="b">
        <f>IF('AAA Summary'!$L$4=2, J12, IF('AAA Summary'!$L$4=1, Z12))</f>
        <v>0</v>
      </c>
      <c r="AH12" s="46" t="b">
        <f>IF('AAA Summary'!$L$4=2, W12, IF('AAA Summary'!$L$4=1, AC12))</f>
        <v>0</v>
      </c>
      <c r="AI12" s="46" t="b">
        <f>IF('AAA Summary'!$L$4=2, X12, IF('AAA Summary'!$L$4=1, AD12))</f>
        <v>0</v>
      </c>
      <c r="AJ12" s="46" t="b">
        <f>IF('AAA Summary'!$L$4=2, Y12, IF('AAA Summary'!$L$4=1, AE12))</f>
        <v>0</v>
      </c>
      <c r="AK12" s="8">
        <v>0.438</v>
      </c>
    </row>
    <row r="13" spans="1:37" x14ac:dyDescent="0.25">
      <c r="A13" s="7" t="s">
        <v>610</v>
      </c>
      <c r="B13" s="95" t="s">
        <v>611</v>
      </c>
      <c r="C13" s="50">
        <v>59</v>
      </c>
      <c r="D13" s="50">
        <v>58</v>
      </c>
      <c r="E13" s="51">
        <v>0.95</v>
      </c>
      <c r="F13" s="51">
        <v>1</v>
      </c>
      <c r="G13" s="51">
        <v>0.96</v>
      </c>
      <c r="H13" s="51">
        <v>0.85</v>
      </c>
      <c r="I13" s="27" t="s">
        <v>387</v>
      </c>
      <c r="J13">
        <v>50</v>
      </c>
      <c r="K13">
        <v>36.299999999999997</v>
      </c>
      <c r="L13">
        <v>63.7</v>
      </c>
      <c r="M13" s="27" t="s">
        <v>276</v>
      </c>
      <c r="N13" s="27" t="s">
        <v>237</v>
      </c>
      <c r="O13" s="52">
        <v>1.4999999999999999E-2</v>
      </c>
      <c r="P13" s="27" t="str">
        <f t="shared" si="6"/>
        <v>RC9</v>
      </c>
      <c r="Q13" s="26">
        <f t="shared" si="1"/>
        <v>3</v>
      </c>
      <c r="R13" s="26">
        <f t="shared" si="2"/>
        <v>4</v>
      </c>
      <c r="S13" s="26">
        <f t="shared" si="3"/>
        <v>3</v>
      </c>
      <c r="T13" s="26">
        <f t="shared" si="4"/>
        <v>2</v>
      </c>
      <c r="U13" s="46">
        <f>IF('AAA Summary'!$L$35=4, RANK(H13,H$8:H$82,1)+COUNTIF($H$8:H13,H13)-1, IF('AAA Summary'!$L$35=3, RANK(G13,G$8:G$82,1)+COUNTIF($G$8:G13,G13)-1, IF('AAA Summary'!$L$35=2, RANK(F13,F$8:F$82,1)+COUNTIF($F$8:F13,F13)-1, IF('AAA Summary'!$L$35=1, RANK(E13,E$8:E$82,1)+COUNTIF($E$8:E13,E13)-1))))</f>
        <v>39</v>
      </c>
      <c r="V13" s="34">
        <f>IF('AAA Summary'!$L$35=4, H13, IF('AAA Summary'!$L$35=3, G13, IF('AAA Summary'!$L$35=2, F13, IF('AAA Summary'!$L$35=1, E13))))</f>
        <v>0.95</v>
      </c>
      <c r="W13" s="11">
        <f t="shared" si="7"/>
        <v>13.700000000000003</v>
      </c>
      <c r="X13" s="11">
        <f t="shared" si="8"/>
        <v>13.700000000000003</v>
      </c>
      <c r="Y13" s="11">
        <v>80</v>
      </c>
      <c r="Z13" s="11">
        <v>59</v>
      </c>
      <c r="AA13" s="11">
        <v>31</v>
      </c>
      <c r="AB13" s="11">
        <v>102</v>
      </c>
      <c r="AC13" s="11">
        <f t="shared" si="5"/>
        <v>28</v>
      </c>
      <c r="AD13" s="11">
        <f t="shared" si="9"/>
        <v>43</v>
      </c>
      <c r="AE13" s="11">
        <v>56</v>
      </c>
      <c r="AF13">
        <v>26</v>
      </c>
      <c r="AG13" s="46" t="b">
        <f>IF('AAA Summary'!$L$4=2, J13, IF('AAA Summary'!$L$4=1, Z13))</f>
        <v>0</v>
      </c>
      <c r="AH13" s="46" t="b">
        <f>IF('AAA Summary'!$L$4=2, W13, IF('AAA Summary'!$L$4=1, AC13))</f>
        <v>0</v>
      </c>
      <c r="AI13" s="46" t="b">
        <f>IF('AAA Summary'!$L$4=2, X13, IF('AAA Summary'!$L$4=1, AD13))</f>
        <v>0</v>
      </c>
      <c r="AJ13" s="46" t="b">
        <f>IF('AAA Summary'!$L$4=2, Y13, IF('AAA Summary'!$L$4=1, AE13))</f>
        <v>0</v>
      </c>
      <c r="AK13" s="8">
        <v>0.5</v>
      </c>
    </row>
    <row r="14" spans="1:37" x14ac:dyDescent="0.25">
      <c r="A14" t="s">
        <v>147</v>
      </c>
      <c r="B14" t="s">
        <v>148</v>
      </c>
      <c r="C14" s="50">
        <v>113</v>
      </c>
      <c r="D14" s="50">
        <v>59</v>
      </c>
      <c r="E14" s="51">
        <v>0.96</v>
      </c>
      <c r="F14" s="51">
        <v>0.99</v>
      </c>
      <c r="G14" s="51">
        <v>0.96</v>
      </c>
      <c r="H14" s="51">
        <v>0.94</v>
      </c>
      <c r="I14" s="27" t="s">
        <v>388</v>
      </c>
      <c r="J14">
        <v>17.399999999999999</v>
      </c>
      <c r="K14">
        <v>10.8</v>
      </c>
      <c r="L14">
        <v>25.900000000000002</v>
      </c>
      <c r="M14" s="27" t="s">
        <v>389</v>
      </c>
      <c r="N14" s="27" t="s">
        <v>174</v>
      </c>
      <c r="O14" s="52">
        <v>6.0000000000000001E-3</v>
      </c>
      <c r="P14" s="27" t="str">
        <f t="shared" si="6"/>
        <v>ZT001</v>
      </c>
      <c r="Q14" s="26">
        <f t="shared" si="1"/>
        <v>3</v>
      </c>
      <c r="R14" s="26">
        <f t="shared" si="2"/>
        <v>3</v>
      </c>
      <c r="S14" s="26">
        <f t="shared" si="3"/>
        <v>3</v>
      </c>
      <c r="T14" s="26">
        <f t="shared" si="4"/>
        <v>3</v>
      </c>
      <c r="U14" s="46">
        <f>IF('AAA Summary'!$L$35=4, RANK(H14,H$8:H$82,1)+COUNTIF($H$8:H14,H14)-1, IF('AAA Summary'!$L$35=3, RANK(G14,G$8:G$82,1)+COUNTIF($G$8:G14,G14)-1, IF('AAA Summary'!$L$35=2, RANK(F14,F$8:F$82,1)+COUNTIF($F$8:F14,F14)-1, IF('AAA Summary'!$L$35=1, RANK(E14,E$8:E$82,1)+COUNTIF($E$8:E14,E14)-1))))</f>
        <v>43</v>
      </c>
      <c r="V14" s="34">
        <f>IF('AAA Summary'!$L$35=4, H14, IF('AAA Summary'!$L$35=3, G14, IF('AAA Summary'!$L$35=2, F14, IF('AAA Summary'!$L$35=1, E14))))</f>
        <v>0.96</v>
      </c>
      <c r="W14" s="11">
        <f t="shared" si="7"/>
        <v>6.5999999999999979</v>
      </c>
      <c r="X14" s="11">
        <f t="shared" si="8"/>
        <v>8.5000000000000036</v>
      </c>
      <c r="Y14" s="11">
        <v>80</v>
      </c>
      <c r="Z14" s="11">
        <v>114</v>
      </c>
      <c r="AA14" s="11">
        <v>67</v>
      </c>
      <c r="AB14" s="11">
        <v>212</v>
      </c>
      <c r="AC14" s="11">
        <f t="shared" si="5"/>
        <v>47</v>
      </c>
      <c r="AD14" s="11">
        <f t="shared" si="9"/>
        <v>98</v>
      </c>
      <c r="AE14" s="11">
        <v>56</v>
      </c>
      <c r="AF14">
        <v>70</v>
      </c>
      <c r="AG14" s="46" t="b">
        <f>IF('AAA Summary'!$L$4=2, J14, IF('AAA Summary'!$L$4=1, Z14))</f>
        <v>0</v>
      </c>
      <c r="AH14" s="46" t="b">
        <f>IF('AAA Summary'!$L$4=2, W14, IF('AAA Summary'!$L$4=1, AC14))</f>
        <v>0</v>
      </c>
      <c r="AI14" s="46" t="b">
        <f>IF('AAA Summary'!$L$4=2, X14, IF('AAA Summary'!$L$4=1, AD14))</f>
        <v>0</v>
      </c>
      <c r="AJ14" s="46" t="b">
        <f>IF('AAA Summary'!$L$4=2, Y14, IF('AAA Summary'!$L$4=1, AE14))</f>
        <v>0</v>
      </c>
      <c r="AK14" s="8">
        <v>0.17399999999999999</v>
      </c>
    </row>
    <row r="15" spans="1:37" x14ac:dyDescent="0.25">
      <c r="A15" t="s">
        <v>0</v>
      </c>
      <c r="B15" t="s">
        <v>1</v>
      </c>
      <c r="C15" s="50">
        <v>35</v>
      </c>
      <c r="D15" s="50">
        <v>21</v>
      </c>
      <c r="E15" s="51">
        <v>0.94</v>
      </c>
      <c r="F15" s="51">
        <v>0.97</v>
      </c>
      <c r="G15" s="51">
        <v>0.94</v>
      </c>
      <c r="H15" s="51">
        <v>0.8</v>
      </c>
      <c r="I15" s="27" t="s">
        <v>390</v>
      </c>
      <c r="J15">
        <v>24.2</v>
      </c>
      <c r="K15">
        <v>11.1</v>
      </c>
      <c r="L15">
        <v>42.3</v>
      </c>
      <c r="M15" s="27" t="s">
        <v>266</v>
      </c>
      <c r="N15" s="27" t="s">
        <v>188</v>
      </c>
      <c r="O15" s="52">
        <v>9.0000000000000011E-3</v>
      </c>
      <c r="P15" s="27" t="str">
        <f t="shared" si="6"/>
        <v>7A1</v>
      </c>
      <c r="Q15" s="26">
        <f t="shared" si="1"/>
        <v>3</v>
      </c>
      <c r="R15" s="26">
        <f t="shared" si="2"/>
        <v>2</v>
      </c>
      <c r="S15" s="26">
        <f t="shared" si="3"/>
        <v>2</v>
      </c>
      <c r="T15" s="26">
        <f t="shared" si="4"/>
        <v>2</v>
      </c>
      <c r="U15" s="46">
        <f>IF('AAA Summary'!$L$35=4, RANK(H15,H$8:H$82,1)+COUNTIF($H$8:H15,H15)-1, IF('AAA Summary'!$L$35=3, RANK(G15,G$8:G$82,1)+COUNTIF($G$8:G15,G15)-1, IF('AAA Summary'!$L$35=2, RANK(F15,F$8:F$82,1)+COUNTIF($F$8:F15,F15)-1, IF('AAA Summary'!$L$35=1, RANK(E15,E$8:E$82,1)+COUNTIF($E$8:E15,E15)-1))))</f>
        <v>35</v>
      </c>
      <c r="V15" s="34">
        <f>IF('AAA Summary'!$L$35=4, H15, IF('AAA Summary'!$L$35=3, G15, IF('AAA Summary'!$L$35=2, F15, IF('AAA Summary'!$L$35=1, E15))))</f>
        <v>0.94</v>
      </c>
      <c r="W15" s="11">
        <f t="shared" si="7"/>
        <v>13.1</v>
      </c>
      <c r="X15" s="11">
        <f t="shared" si="8"/>
        <v>18.099999999999998</v>
      </c>
      <c r="Y15" s="11">
        <v>80</v>
      </c>
      <c r="Z15" s="11">
        <v>89</v>
      </c>
      <c r="AA15" s="11">
        <v>60</v>
      </c>
      <c r="AB15" s="11">
        <v>158</v>
      </c>
      <c r="AC15" s="11">
        <f t="shared" si="5"/>
        <v>29</v>
      </c>
      <c r="AD15" s="11">
        <f t="shared" si="9"/>
        <v>69</v>
      </c>
      <c r="AE15" s="11">
        <v>56</v>
      </c>
      <c r="AF15">
        <v>62</v>
      </c>
      <c r="AG15" s="46" t="b">
        <f>IF('AAA Summary'!$L$4=2, J15, IF('AAA Summary'!$L$4=1, Z15))</f>
        <v>0</v>
      </c>
      <c r="AH15" s="46" t="b">
        <f>IF('AAA Summary'!$L$4=2, W15, IF('AAA Summary'!$L$4=1, AC15))</f>
        <v>0</v>
      </c>
      <c r="AI15" s="46" t="b">
        <f>IF('AAA Summary'!$L$4=2, X15, IF('AAA Summary'!$L$4=1, AD15))</f>
        <v>0</v>
      </c>
      <c r="AJ15" s="46" t="b">
        <f>IF('AAA Summary'!$L$4=2, Y15, IF('AAA Summary'!$L$4=1, AE15))</f>
        <v>0</v>
      </c>
      <c r="AK15" s="8">
        <v>0.24199999999999999</v>
      </c>
    </row>
    <row r="16" spans="1:37" x14ac:dyDescent="0.25">
      <c r="A16" t="s">
        <v>15</v>
      </c>
      <c r="B16" t="s">
        <v>16</v>
      </c>
      <c r="C16" s="50">
        <v>25</v>
      </c>
      <c r="D16" s="50">
        <v>14</v>
      </c>
      <c r="E16" s="51">
        <v>0.96</v>
      </c>
      <c r="F16" s="51">
        <v>0.96</v>
      </c>
      <c r="G16" s="51">
        <v>1</v>
      </c>
      <c r="H16" s="51">
        <v>0.96</v>
      </c>
      <c r="I16" s="27" t="s">
        <v>391</v>
      </c>
      <c r="J16">
        <v>58.3</v>
      </c>
      <c r="K16">
        <v>36.6</v>
      </c>
      <c r="L16">
        <v>77.900000000000006</v>
      </c>
      <c r="M16" s="27" t="s">
        <v>392</v>
      </c>
      <c r="N16" s="27" t="s">
        <v>173</v>
      </c>
      <c r="O16" s="52">
        <v>1.1000000000000001E-2</v>
      </c>
      <c r="P16" s="27" t="str">
        <f t="shared" si="6"/>
        <v>RAE</v>
      </c>
      <c r="Q16" s="26">
        <f t="shared" si="1"/>
        <v>3</v>
      </c>
      <c r="R16" s="26">
        <f t="shared" si="2"/>
        <v>1</v>
      </c>
      <c r="S16" s="26">
        <f t="shared" si="3"/>
        <v>4</v>
      </c>
      <c r="T16" s="26">
        <f t="shared" si="4"/>
        <v>4</v>
      </c>
      <c r="U16" s="46">
        <f>IF('AAA Summary'!$L$35=4, RANK(H16,H$8:H$82,1)+COUNTIF($H$8:H16,H16)-1, IF('AAA Summary'!$L$35=3, RANK(G16,G$8:G$82,1)+COUNTIF($G$8:G16,G16)-1, IF('AAA Summary'!$L$35=2, RANK(F16,F$8:F$82,1)+COUNTIF($F$8:F16,F16)-1, IF('AAA Summary'!$L$35=1, RANK(E16,E$8:E$82,1)+COUNTIF($E$8:E16,E16)-1))))</f>
        <v>44</v>
      </c>
      <c r="V16" s="34">
        <f>IF('AAA Summary'!$L$35=4, H16, IF('AAA Summary'!$L$35=3, G16, IF('AAA Summary'!$L$35=2, F16, IF('AAA Summary'!$L$35=1, E16))))</f>
        <v>0.96</v>
      </c>
      <c r="W16" s="11">
        <f t="shared" si="7"/>
        <v>21.699999999999996</v>
      </c>
      <c r="X16" s="11">
        <f t="shared" si="8"/>
        <v>19.600000000000009</v>
      </c>
      <c r="Y16" s="11">
        <v>80</v>
      </c>
      <c r="Z16" s="11">
        <v>48</v>
      </c>
      <c r="AA16" s="11">
        <v>29</v>
      </c>
      <c r="AB16" s="11">
        <v>104</v>
      </c>
      <c r="AC16" s="11">
        <f t="shared" si="5"/>
        <v>19</v>
      </c>
      <c r="AD16" s="11">
        <f t="shared" si="9"/>
        <v>56</v>
      </c>
      <c r="AE16" s="11">
        <v>56</v>
      </c>
      <c r="AF16">
        <v>15</v>
      </c>
      <c r="AG16" s="46" t="b">
        <f>IF('AAA Summary'!$L$4=2, J16, IF('AAA Summary'!$L$4=1, Z16))</f>
        <v>0</v>
      </c>
      <c r="AH16" s="46" t="b">
        <f>IF('AAA Summary'!$L$4=2, W16, IF('AAA Summary'!$L$4=1, AC16))</f>
        <v>0</v>
      </c>
      <c r="AI16" s="46" t="b">
        <f>IF('AAA Summary'!$L$4=2, X16, IF('AAA Summary'!$L$4=1, AD16))</f>
        <v>0</v>
      </c>
      <c r="AJ16" s="46" t="b">
        <f>IF('AAA Summary'!$L$4=2, Y16, IF('AAA Summary'!$L$4=1, AE16))</f>
        <v>0</v>
      </c>
      <c r="AK16" s="8">
        <v>0.58299999999999996</v>
      </c>
    </row>
    <row r="17" spans="1:37" x14ac:dyDescent="0.25">
      <c r="A17" s="7" t="s">
        <v>525</v>
      </c>
      <c r="B17" s="95" t="s">
        <v>526</v>
      </c>
      <c r="C17" s="50">
        <v>63</v>
      </c>
      <c r="D17" s="50">
        <v>49</v>
      </c>
      <c r="E17" s="51">
        <v>0.98</v>
      </c>
      <c r="F17" s="51">
        <v>0.98</v>
      </c>
      <c r="G17" s="51">
        <v>0.98</v>
      </c>
      <c r="H17" s="51">
        <v>0.87</v>
      </c>
      <c r="I17" s="27" t="s">
        <v>393</v>
      </c>
      <c r="J17">
        <v>35.5</v>
      </c>
      <c r="K17">
        <v>23.7</v>
      </c>
      <c r="L17">
        <v>48.699999999999996</v>
      </c>
      <c r="M17" s="27" t="s">
        <v>187</v>
      </c>
      <c r="N17" s="27" t="s">
        <v>220</v>
      </c>
      <c r="O17" s="52">
        <v>0.01</v>
      </c>
      <c r="P17" s="27" t="str">
        <f t="shared" si="6"/>
        <v>RYR</v>
      </c>
      <c r="Q17" s="26">
        <f t="shared" si="1"/>
        <v>4</v>
      </c>
      <c r="R17" s="26">
        <f t="shared" si="2"/>
        <v>2</v>
      </c>
      <c r="S17" s="26">
        <f t="shared" si="3"/>
        <v>3</v>
      </c>
      <c r="T17" s="26">
        <f t="shared" si="4"/>
        <v>2</v>
      </c>
      <c r="U17" s="46">
        <f>IF('AAA Summary'!$L$35=4, RANK(H17,H$8:H$82,1)+COUNTIF($H$8:H17,H17)-1, IF('AAA Summary'!$L$35=3, RANK(G17,G$8:G$82,1)+COUNTIF($G$8:G17,G17)-1, IF('AAA Summary'!$L$35=2, RANK(F17,F$8:F$82,1)+COUNTIF($F$8:F17,F17)-1, IF('AAA Summary'!$L$35=1, RANK(E17,E$8:E$82,1)+COUNTIF($E$8:E17,E17)-1))))</f>
        <v>55</v>
      </c>
      <c r="V17" s="34">
        <f>IF('AAA Summary'!$L$35=4, H17, IF('AAA Summary'!$L$35=3, G17, IF('AAA Summary'!$L$35=2, F17, IF('AAA Summary'!$L$35=1, E17))))</f>
        <v>0.98</v>
      </c>
      <c r="W17" s="11">
        <f t="shared" si="7"/>
        <v>11.8</v>
      </c>
      <c r="X17" s="11">
        <f t="shared" si="8"/>
        <v>13.199999999999996</v>
      </c>
      <c r="Y17" s="11">
        <v>80</v>
      </c>
      <c r="Z17" s="11">
        <v>80</v>
      </c>
      <c r="AA17" s="11">
        <v>47</v>
      </c>
      <c r="AB17" s="11">
        <v>163</v>
      </c>
      <c r="AC17" s="11">
        <f t="shared" si="5"/>
        <v>33</v>
      </c>
      <c r="AD17" s="11">
        <f t="shared" si="9"/>
        <v>83</v>
      </c>
      <c r="AE17" s="11">
        <v>56</v>
      </c>
      <c r="AF17">
        <v>54</v>
      </c>
      <c r="AG17" s="46" t="b">
        <f>IF('AAA Summary'!$L$4=2, J17, IF('AAA Summary'!$L$4=1, Z17))</f>
        <v>0</v>
      </c>
      <c r="AH17" s="46" t="b">
        <f>IF('AAA Summary'!$L$4=2, W17, IF('AAA Summary'!$L$4=1, AC17))</f>
        <v>0</v>
      </c>
      <c r="AI17" s="46" t="b">
        <f>IF('AAA Summary'!$L$4=2, X17, IF('AAA Summary'!$L$4=1, AD17))</f>
        <v>0</v>
      </c>
      <c r="AJ17" s="46" t="b">
        <f>IF('AAA Summary'!$L$4=2, Y17, IF('AAA Summary'!$L$4=1, AE17))</f>
        <v>0</v>
      </c>
      <c r="AK17" s="8">
        <v>0.35499999999999998</v>
      </c>
    </row>
    <row r="18" spans="1:37" x14ac:dyDescent="0.25">
      <c r="A18" t="s">
        <v>117</v>
      </c>
      <c r="B18" t="s">
        <v>118</v>
      </c>
      <c r="C18" s="50">
        <v>20</v>
      </c>
      <c r="D18" s="50">
        <v>7</v>
      </c>
      <c r="E18" s="51">
        <v>0.95</v>
      </c>
      <c r="F18" s="51">
        <v>1</v>
      </c>
      <c r="G18" s="51">
        <v>0.95</v>
      </c>
      <c r="H18" s="51">
        <v>0.7</v>
      </c>
      <c r="I18" s="27" t="s">
        <v>394</v>
      </c>
      <c r="J18">
        <v>63.2</v>
      </c>
      <c r="K18">
        <v>38.4</v>
      </c>
      <c r="L18">
        <v>83.7</v>
      </c>
      <c r="M18" s="27" t="s">
        <v>333</v>
      </c>
      <c r="N18" s="27" t="s">
        <v>395</v>
      </c>
      <c r="O18" s="52">
        <v>0</v>
      </c>
      <c r="P18" s="27" t="str">
        <f t="shared" si="6"/>
        <v>RWY</v>
      </c>
      <c r="Q18" s="26">
        <f t="shared" si="1"/>
        <v>3</v>
      </c>
      <c r="R18" s="26">
        <f t="shared" si="2"/>
        <v>4</v>
      </c>
      <c r="S18" s="26">
        <f t="shared" si="3"/>
        <v>3</v>
      </c>
      <c r="T18" s="26">
        <f t="shared" si="4"/>
        <v>1</v>
      </c>
      <c r="U18" s="46">
        <f>IF('AAA Summary'!$L$35=4, RANK(H18,H$8:H$82,1)+COUNTIF($H$8:H18,H18)-1, IF('AAA Summary'!$L$35=3, RANK(G18,G$8:G$82,1)+COUNTIF($G$8:G18,G18)-1, IF('AAA Summary'!$L$35=2, RANK(F18,F$8:F$82,1)+COUNTIF($F$8:F18,F18)-1, IF('AAA Summary'!$L$35=1, RANK(E18,E$8:E$82,1)+COUNTIF($E$8:E18,E18)-1))))</f>
        <v>40</v>
      </c>
      <c r="V18" s="34">
        <f>IF('AAA Summary'!$L$35=4, H18, IF('AAA Summary'!$L$35=3, G18, IF('AAA Summary'!$L$35=2, F18, IF('AAA Summary'!$L$35=1, E18))))</f>
        <v>0.95</v>
      </c>
      <c r="W18" s="11">
        <f t="shared" si="7"/>
        <v>24.800000000000004</v>
      </c>
      <c r="X18" s="11">
        <f t="shared" si="8"/>
        <v>20.5</v>
      </c>
      <c r="Y18" s="11">
        <v>80</v>
      </c>
      <c r="Z18" s="11">
        <v>45</v>
      </c>
      <c r="AA18" s="11">
        <v>27</v>
      </c>
      <c r="AB18" s="11">
        <v>84</v>
      </c>
      <c r="AC18" s="11">
        <f t="shared" si="5"/>
        <v>18</v>
      </c>
      <c r="AD18" s="11">
        <f t="shared" si="9"/>
        <v>39</v>
      </c>
      <c r="AE18" s="11">
        <v>56</v>
      </c>
      <c r="AF18">
        <v>6</v>
      </c>
      <c r="AG18" s="46" t="b">
        <f>IF('AAA Summary'!$L$4=2, J18, IF('AAA Summary'!$L$4=1, Z18))</f>
        <v>0</v>
      </c>
      <c r="AH18" s="46" t="b">
        <f>IF('AAA Summary'!$L$4=2, W18, IF('AAA Summary'!$L$4=1, AC18))</f>
        <v>0</v>
      </c>
      <c r="AI18" s="46" t="b">
        <f>IF('AAA Summary'!$L$4=2, X18, IF('AAA Summary'!$L$4=1, AD18))</f>
        <v>0</v>
      </c>
      <c r="AJ18" s="46" t="b">
        <f>IF('AAA Summary'!$L$4=2, Y18, IF('AAA Summary'!$L$4=1, AE18))</f>
        <v>0</v>
      </c>
      <c r="AK18" s="8">
        <v>0.63200000000000001</v>
      </c>
    </row>
    <row r="19" spans="1:37" x14ac:dyDescent="0.25">
      <c r="A19" t="s">
        <v>40</v>
      </c>
      <c r="B19" t="s">
        <v>41</v>
      </c>
      <c r="C19" s="50">
        <v>93</v>
      </c>
      <c r="D19" s="50">
        <v>55</v>
      </c>
      <c r="E19" s="51">
        <v>0.7</v>
      </c>
      <c r="F19" s="51">
        <v>0.99</v>
      </c>
      <c r="G19" s="51">
        <v>0.71</v>
      </c>
      <c r="H19" s="51">
        <v>0.84</v>
      </c>
      <c r="I19" s="27" t="s">
        <v>396</v>
      </c>
      <c r="J19">
        <v>30.8</v>
      </c>
      <c r="K19">
        <v>19.900000000000002</v>
      </c>
      <c r="L19">
        <v>43.4</v>
      </c>
      <c r="M19" s="27" t="s">
        <v>266</v>
      </c>
      <c r="N19" s="27" t="s">
        <v>236</v>
      </c>
      <c r="O19" s="52">
        <v>3.0000000000000001E-3</v>
      </c>
      <c r="P19" s="27" t="str">
        <f t="shared" si="6"/>
        <v>RGT</v>
      </c>
      <c r="Q19" s="26">
        <f t="shared" si="1"/>
        <v>1</v>
      </c>
      <c r="R19" s="26">
        <f t="shared" si="2"/>
        <v>3</v>
      </c>
      <c r="S19" s="26">
        <f t="shared" si="3"/>
        <v>1</v>
      </c>
      <c r="T19" s="26">
        <f t="shared" si="4"/>
        <v>2</v>
      </c>
      <c r="U19" s="46">
        <f>IF('AAA Summary'!$L$35=4, RANK(H19,H$8:H$82,1)+COUNTIF($H$8:H19,H19)-1, IF('AAA Summary'!$L$35=3, RANK(G19,G$8:G$82,1)+COUNTIF($G$8:G19,G19)-1, IF('AAA Summary'!$L$35=2, RANK(F19,F$8:F$82,1)+COUNTIF($F$8:F19,F19)-1, IF('AAA Summary'!$L$35=1, RANK(E19,E$8:E$82,1)+COUNTIF($E$8:E19,E19)-1))))</f>
        <v>5</v>
      </c>
      <c r="V19" s="34">
        <f>IF('AAA Summary'!$L$35=4, H19, IF('AAA Summary'!$L$35=3, G19, IF('AAA Summary'!$L$35=2, F19, IF('AAA Summary'!$L$35=1, E19))))</f>
        <v>0.7</v>
      </c>
      <c r="W19" s="11">
        <f t="shared" si="7"/>
        <v>10.899999999999999</v>
      </c>
      <c r="X19" s="11">
        <f t="shared" si="8"/>
        <v>12.599999999999998</v>
      </c>
      <c r="Y19" s="11">
        <v>80</v>
      </c>
      <c r="Z19" s="11">
        <v>77</v>
      </c>
      <c r="AA19" s="11">
        <v>42</v>
      </c>
      <c r="AB19" s="11">
        <v>128</v>
      </c>
      <c r="AC19" s="11">
        <f t="shared" si="5"/>
        <v>35</v>
      </c>
      <c r="AD19" s="11">
        <f t="shared" si="9"/>
        <v>51</v>
      </c>
      <c r="AE19" s="11">
        <v>56</v>
      </c>
      <c r="AF19">
        <v>50</v>
      </c>
      <c r="AG19" s="46" t="b">
        <f>IF('AAA Summary'!$L$4=2, J19, IF('AAA Summary'!$L$4=1, Z19))</f>
        <v>0</v>
      </c>
      <c r="AH19" s="46" t="b">
        <f>IF('AAA Summary'!$L$4=2, W19, IF('AAA Summary'!$L$4=1, AC19))</f>
        <v>0</v>
      </c>
      <c r="AI19" s="46" t="b">
        <f>IF('AAA Summary'!$L$4=2, X19, IF('AAA Summary'!$L$4=1, AD19))</f>
        <v>0</v>
      </c>
      <c r="AJ19" s="46" t="b">
        <f>IF('AAA Summary'!$L$4=2, Y19, IF('AAA Summary'!$L$4=1, AE19))</f>
        <v>0</v>
      </c>
      <c r="AK19" s="8">
        <v>0.308</v>
      </c>
    </row>
    <row r="20" spans="1:37" x14ac:dyDescent="0.25">
      <c r="A20" t="s">
        <v>3</v>
      </c>
      <c r="B20" t="s">
        <v>4</v>
      </c>
      <c r="C20" s="50">
        <v>21</v>
      </c>
      <c r="D20" s="50">
        <v>13</v>
      </c>
      <c r="E20" s="51">
        <v>1</v>
      </c>
      <c r="F20" s="51">
        <v>1</v>
      </c>
      <c r="G20" s="51">
        <v>1</v>
      </c>
      <c r="H20" s="51">
        <v>0.9</v>
      </c>
      <c r="I20" s="27" t="s">
        <v>397</v>
      </c>
      <c r="J20">
        <v>38.1</v>
      </c>
      <c r="K20">
        <v>18.099999999999998</v>
      </c>
      <c r="L20">
        <v>61.6</v>
      </c>
      <c r="M20" s="27" t="s">
        <v>327</v>
      </c>
      <c r="N20" s="27" t="s">
        <v>249</v>
      </c>
      <c r="O20" s="52">
        <v>5.5999999999999994E-2</v>
      </c>
      <c r="P20" s="27" t="str">
        <f t="shared" si="6"/>
        <v>7A4</v>
      </c>
      <c r="Q20" s="26">
        <f t="shared" si="1"/>
        <v>4</v>
      </c>
      <c r="R20" s="26">
        <f t="shared" si="2"/>
        <v>4</v>
      </c>
      <c r="S20" s="26">
        <f t="shared" si="3"/>
        <v>4</v>
      </c>
      <c r="T20" s="26">
        <f t="shared" si="4"/>
        <v>3</v>
      </c>
      <c r="U20" s="46">
        <f>IF('AAA Summary'!$L$35=4, RANK(H20,H$8:H$82,1)+COUNTIF($H$8:H20,H20)-1, IF('AAA Summary'!$L$35=3, RANK(G20,G$8:G$82,1)+COUNTIF($G$8:G20,G20)-1, IF('AAA Summary'!$L$35=2, RANK(F20,F$8:F$82,1)+COUNTIF($F$8:F20,F20)-1, IF('AAA Summary'!$L$35=1, RANK(E20,E$8:E$82,1)+COUNTIF($E$8:E20,E20)-1))))</f>
        <v>62</v>
      </c>
      <c r="V20" s="34">
        <f>IF('AAA Summary'!$L$35=4, H20, IF('AAA Summary'!$L$35=3, G20, IF('AAA Summary'!$L$35=2, F20, IF('AAA Summary'!$L$35=1, E20))))</f>
        <v>1</v>
      </c>
      <c r="W20" s="11">
        <f t="shared" si="7"/>
        <v>20.000000000000004</v>
      </c>
      <c r="X20" s="11">
        <f t="shared" si="8"/>
        <v>23.5</v>
      </c>
      <c r="Y20" s="11">
        <v>80</v>
      </c>
      <c r="Z20" s="11">
        <v>68</v>
      </c>
      <c r="AA20" s="11">
        <v>52</v>
      </c>
      <c r="AB20" s="11">
        <v>106</v>
      </c>
      <c r="AC20" s="11">
        <f t="shared" si="5"/>
        <v>16</v>
      </c>
      <c r="AD20" s="11">
        <f t="shared" si="9"/>
        <v>38</v>
      </c>
      <c r="AE20" s="11">
        <v>56</v>
      </c>
      <c r="AF20">
        <v>39</v>
      </c>
      <c r="AG20" s="46" t="b">
        <f>IF('AAA Summary'!$L$4=2, J20, IF('AAA Summary'!$L$4=1, Z20))</f>
        <v>0</v>
      </c>
      <c r="AH20" s="46" t="b">
        <f>IF('AAA Summary'!$L$4=2, W20, IF('AAA Summary'!$L$4=1, AC20))</f>
        <v>0</v>
      </c>
      <c r="AI20" s="46" t="b">
        <f>IF('AAA Summary'!$L$4=2, X20, IF('AAA Summary'!$L$4=1, AD20))</f>
        <v>0</v>
      </c>
      <c r="AJ20" s="46" t="b">
        <f>IF('AAA Summary'!$L$4=2, Y20, IF('AAA Summary'!$L$4=1, AE20))</f>
        <v>0</v>
      </c>
      <c r="AK20" s="8">
        <v>0.38100000000000001</v>
      </c>
    </row>
    <row r="21" spans="1:37" x14ac:dyDescent="0.25">
      <c r="A21" s="7" t="s">
        <v>498</v>
      </c>
      <c r="B21" s="95" t="s">
        <v>499</v>
      </c>
      <c r="C21" s="50">
        <v>48</v>
      </c>
      <c r="D21" s="50">
        <v>38</v>
      </c>
      <c r="E21" s="51">
        <v>0.88</v>
      </c>
      <c r="F21" s="51">
        <v>1</v>
      </c>
      <c r="G21" s="51">
        <v>0.93</v>
      </c>
      <c r="H21" s="51">
        <v>1</v>
      </c>
      <c r="I21" s="27" t="s">
        <v>398</v>
      </c>
      <c r="J21">
        <v>64.3</v>
      </c>
      <c r="K21">
        <v>48</v>
      </c>
      <c r="L21">
        <v>78.400000000000006</v>
      </c>
      <c r="M21" s="27" t="s">
        <v>205</v>
      </c>
      <c r="N21" s="27" t="s">
        <v>235</v>
      </c>
      <c r="O21" s="52">
        <v>2.7999999999999997E-2</v>
      </c>
      <c r="P21" s="27" t="str">
        <f t="shared" si="6"/>
        <v>R0B</v>
      </c>
      <c r="Q21" s="26">
        <f t="shared" si="1"/>
        <v>2</v>
      </c>
      <c r="R21" s="26">
        <f t="shared" si="2"/>
        <v>4</v>
      </c>
      <c r="S21" s="26">
        <f t="shared" si="3"/>
        <v>2</v>
      </c>
      <c r="T21" s="26">
        <f t="shared" si="4"/>
        <v>4</v>
      </c>
      <c r="U21" s="46">
        <f>IF('AAA Summary'!$L$35=4, RANK(H21,H$8:H$82,1)+COUNTIF($H$8:H21,H21)-1, IF('AAA Summary'!$L$35=3, RANK(G21,G$8:G$82,1)+COUNTIF($G$8:G21,G21)-1, IF('AAA Summary'!$L$35=2, RANK(F21,F$8:F$82,1)+COUNTIF($F$8:F21,F21)-1, IF('AAA Summary'!$L$35=1, RANK(E21,E$8:E$82,1)+COUNTIF($E$8:E21,E21)-1))))</f>
        <v>19</v>
      </c>
      <c r="V21" s="34">
        <f>IF('AAA Summary'!$L$35=4, H21, IF('AAA Summary'!$L$35=3, G21, IF('AAA Summary'!$L$35=2, F21, IF('AAA Summary'!$L$35=1, E21))))</f>
        <v>0.88</v>
      </c>
      <c r="W21" s="11">
        <f t="shared" si="7"/>
        <v>16.299999999999997</v>
      </c>
      <c r="X21" s="11">
        <f t="shared" si="8"/>
        <v>14.100000000000009</v>
      </c>
      <c r="Y21" s="11">
        <v>80</v>
      </c>
      <c r="Z21" s="11">
        <v>47</v>
      </c>
      <c r="AA21" s="11">
        <v>25</v>
      </c>
      <c r="AB21" s="11">
        <v>82</v>
      </c>
      <c r="AC21" s="11">
        <f t="shared" si="5"/>
        <v>22</v>
      </c>
      <c r="AD21" s="11">
        <f t="shared" si="9"/>
        <v>35</v>
      </c>
      <c r="AE21" s="11">
        <v>56</v>
      </c>
      <c r="AF21">
        <v>11</v>
      </c>
      <c r="AG21" s="46" t="b">
        <f>IF('AAA Summary'!$L$4=2, J21, IF('AAA Summary'!$L$4=1, Z21))</f>
        <v>0</v>
      </c>
      <c r="AH21" s="46" t="b">
        <f>IF('AAA Summary'!$L$4=2, W21, IF('AAA Summary'!$L$4=1, AC21))</f>
        <v>0</v>
      </c>
      <c r="AI21" s="46" t="b">
        <f>IF('AAA Summary'!$L$4=2, X21, IF('AAA Summary'!$L$4=1, AD21))</f>
        <v>0</v>
      </c>
      <c r="AJ21" s="46" t="b">
        <f>IF('AAA Summary'!$L$4=2, Y21, IF('AAA Summary'!$L$4=1, AE21))</f>
        <v>0</v>
      </c>
      <c r="AK21" s="8">
        <v>0.64300000000000002</v>
      </c>
    </row>
    <row r="22" spans="1:37" x14ac:dyDescent="0.25">
      <c r="A22" t="s">
        <v>56</v>
      </c>
      <c r="B22" t="s">
        <v>57</v>
      </c>
      <c r="C22" s="50">
        <v>72</v>
      </c>
      <c r="D22" s="50">
        <v>65</v>
      </c>
      <c r="E22" s="51">
        <v>0.97</v>
      </c>
      <c r="F22" s="51">
        <v>0.99</v>
      </c>
      <c r="G22" s="51">
        <v>0.97</v>
      </c>
      <c r="H22" s="51">
        <v>0.9</v>
      </c>
      <c r="I22" s="27" t="s">
        <v>399</v>
      </c>
      <c r="J22">
        <v>37.1</v>
      </c>
      <c r="K22">
        <v>25.900000000000002</v>
      </c>
      <c r="L22">
        <v>49.5</v>
      </c>
      <c r="M22" s="27" t="s">
        <v>400</v>
      </c>
      <c r="N22" s="27" t="s">
        <v>237</v>
      </c>
      <c r="O22" s="52">
        <v>1.3000000000000001E-2</v>
      </c>
      <c r="P22" s="27" t="str">
        <f t="shared" si="6"/>
        <v>RJR</v>
      </c>
      <c r="Q22" s="26">
        <f t="shared" si="1"/>
        <v>3</v>
      </c>
      <c r="R22" s="26">
        <f t="shared" si="2"/>
        <v>3</v>
      </c>
      <c r="S22" s="26">
        <f t="shared" si="3"/>
        <v>3</v>
      </c>
      <c r="T22" s="26">
        <f t="shared" si="4"/>
        <v>3</v>
      </c>
      <c r="U22" s="46">
        <f>IF('AAA Summary'!$L$35=4, RANK(H22,H$8:H$82,1)+COUNTIF($H$8:H22,H22)-1, IF('AAA Summary'!$L$35=3, RANK(G22,G$8:G$82,1)+COUNTIF($G$8:G22,G22)-1, IF('AAA Summary'!$L$35=2, RANK(F22,F$8:F$82,1)+COUNTIF($F$8:F22,F22)-1, IF('AAA Summary'!$L$35=1, RANK(E22,E$8:E$82,1)+COUNTIF($E$8:E22,E22)-1))))</f>
        <v>51</v>
      </c>
      <c r="V22" s="34">
        <f>IF('AAA Summary'!$L$35=4, H22, IF('AAA Summary'!$L$35=3, G22, IF('AAA Summary'!$L$35=2, F22, IF('AAA Summary'!$L$35=1, E22))))</f>
        <v>0.97</v>
      </c>
      <c r="W22" s="11">
        <f t="shared" si="7"/>
        <v>11.2</v>
      </c>
      <c r="X22" s="11">
        <f t="shared" si="8"/>
        <v>12.399999999999999</v>
      </c>
      <c r="Y22" s="11">
        <v>80</v>
      </c>
      <c r="Z22" s="11">
        <v>76</v>
      </c>
      <c r="AA22" s="11">
        <v>36</v>
      </c>
      <c r="AB22" s="11">
        <v>128</v>
      </c>
      <c r="AC22" s="11">
        <f t="shared" si="5"/>
        <v>40</v>
      </c>
      <c r="AD22" s="11">
        <f t="shared" si="9"/>
        <v>52</v>
      </c>
      <c r="AE22" s="11">
        <v>56</v>
      </c>
      <c r="AF22">
        <v>49</v>
      </c>
      <c r="AG22" s="46" t="b">
        <f>IF('AAA Summary'!$L$4=2, J22, IF('AAA Summary'!$L$4=1, Z22))</f>
        <v>0</v>
      </c>
      <c r="AH22" s="46" t="b">
        <f>IF('AAA Summary'!$L$4=2, W22, IF('AAA Summary'!$L$4=1, AC22))</f>
        <v>0</v>
      </c>
      <c r="AI22" s="46" t="b">
        <f>IF('AAA Summary'!$L$4=2, X22, IF('AAA Summary'!$L$4=1, AD22))</f>
        <v>0</v>
      </c>
      <c r="AJ22" s="46" t="b">
        <f>IF('AAA Summary'!$L$4=2, Y22, IF('AAA Summary'!$L$4=1, AE22))</f>
        <v>0</v>
      </c>
      <c r="AK22" s="8">
        <v>0.371</v>
      </c>
    </row>
    <row r="23" spans="1:37" x14ac:dyDescent="0.25">
      <c r="A23" t="s">
        <v>5</v>
      </c>
      <c r="B23" t="s">
        <v>354</v>
      </c>
      <c r="C23" s="50">
        <v>15</v>
      </c>
      <c r="D23" s="50">
        <v>9</v>
      </c>
      <c r="E23" s="51">
        <v>0.93</v>
      </c>
      <c r="F23" s="51">
        <v>0.93</v>
      </c>
      <c r="G23" s="51">
        <v>0.92</v>
      </c>
      <c r="H23" s="51">
        <v>0.93</v>
      </c>
      <c r="I23" s="27" t="s">
        <v>401</v>
      </c>
      <c r="J23">
        <v>28.599999999999998</v>
      </c>
      <c r="K23">
        <v>8.4</v>
      </c>
      <c r="L23">
        <v>58.099999999999994</v>
      </c>
      <c r="M23" s="27" t="s">
        <v>334</v>
      </c>
      <c r="N23" s="27" t="s">
        <v>252</v>
      </c>
      <c r="O23" s="52">
        <v>1.8000000000000002E-2</v>
      </c>
      <c r="P23" s="27" t="str">
        <f t="shared" si="6"/>
        <v>7A5</v>
      </c>
      <c r="Q23" s="26">
        <f t="shared" si="1"/>
        <v>2</v>
      </c>
      <c r="R23" s="26">
        <f t="shared" si="2"/>
        <v>1</v>
      </c>
      <c r="S23" s="26">
        <f t="shared" si="3"/>
        <v>2</v>
      </c>
      <c r="T23" s="26">
        <f t="shared" si="4"/>
        <v>3</v>
      </c>
      <c r="U23" s="46">
        <f>IF('AAA Summary'!$L$35=4, RANK(H23,H$8:H$82,1)+COUNTIF($H$8:H23,H23)-1, IF('AAA Summary'!$L$35=3, RANK(G23,G$8:G$82,1)+COUNTIF($G$8:G23,G23)-1, IF('AAA Summary'!$L$35=2, RANK(F23,F$8:F$82,1)+COUNTIF($F$8:F23,F23)-1, IF('AAA Summary'!$L$35=1, RANK(E23,E$8:E$82,1)+COUNTIF($E$8:E23,E23)-1))))</f>
        <v>31</v>
      </c>
      <c r="V23" s="34">
        <f>IF('AAA Summary'!$L$35=4, H23, IF('AAA Summary'!$L$35=3, G23, IF('AAA Summary'!$L$35=2, F23, IF('AAA Summary'!$L$35=1, E23))))</f>
        <v>0.93</v>
      </c>
      <c r="W23" s="11">
        <f t="shared" si="7"/>
        <v>20.199999999999996</v>
      </c>
      <c r="X23" s="11">
        <f t="shared" si="8"/>
        <v>29.499999999999996</v>
      </c>
      <c r="Y23" s="11">
        <v>80</v>
      </c>
      <c r="Z23" s="11">
        <v>111</v>
      </c>
      <c r="AA23" s="11">
        <v>42</v>
      </c>
      <c r="AB23" s="11">
        <v>148</v>
      </c>
      <c r="AC23" s="11">
        <f t="shared" si="5"/>
        <v>69</v>
      </c>
      <c r="AD23" s="11">
        <f t="shared" si="9"/>
        <v>37</v>
      </c>
      <c r="AE23" s="11">
        <v>56</v>
      </c>
      <c r="AF23">
        <v>69</v>
      </c>
      <c r="AG23" s="46" t="b">
        <f>IF('AAA Summary'!$L$4=2, J23, IF('AAA Summary'!$L$4=1, Z23))</f>
        <v>0</v>
      </c>
      <c r="AH23" s="46" t="b">
        <f>IF('AAA Summary'!$L$4=2, W23, IF('AAA Summary'!$L$4=1, AC23))</f>
        <v>0</v>
      </c>
      <c r="AI23" s="46" t="b">
        <f>IF('AAA Summary'!$L$4=2, X23, IF('AAA Summary'!$L$4=1, AD23))</f>
        <v>0</v>
      </c>
      <c r="AJ23" s="46" t="b">
        <f>IF('AAA Summary'!$L$4=2, Y23, IF('AAA Summary'!$L$4=1, AE23))</f>
        <v>0</v>
      </c>
      <c r="AK23" s="8">
        <v>0.28599999999999998</v>
      </c>
    </row>
    <row r="24" spans="1:37" x14ac:dyDescent="0.25">
      <c r="A24" t="s">
        <v>74</v>
      </c>
      <c r="B24" t="s">
        <v>355</v>
      </c>
      <c r="C24" s="50">
        <v>33</v>
      </c>
      <c r="D24" s="50">
        <v>18</v>
      </c>
      <c r="E24" s="51">
        <v>1</v>
      </c>
      <c r="F24" s="51">
        <v>0.94</v>
      </c>
      <c r="G24" s="51">
        <v>1</v>
      </c>
      <c r="H24" s="51">
        <v>0.88</v>
      </c>
      <c r="I24" s="27" t="s">
        <v>402</v>
      </c>
      <c r="J24">
        <v>51.5</v>
      </c>
      <c r="K24">
        <v>33.5</v>
      </c>
      <c r="L24">
        <v>69.199999999999989</v>
      </c>
      <c r="M24" s="27" t="s">
        <v>257</v>
      </c>
      <c r="N24" s="27" t="s">
        <v>236</v>
      </c>
      <c r="O24" s="52">
        <v>9.0000000000000011E-3</v>
      </c>
      <c r="P24" s="27" t="str">
        <f t="shared" si="6"/>
        <v>RP5</v>
      </c>
      <c r="Q24" s="26">
        <f t="shared" si="1"/>
        <v>4</v>
      </c>
      <c r="R24" s="26">
        <f t="shared" si="2"/>
        <v>1</v>
      </c>
      <c r="S24" s="26">
        <f t="shared" si="3"/>
        <v>4</v>
      </c>
      <c r="T24" s="26">
        <f t="shared" si="4"/>
        <v>2</v>
      </c>
      <c r="U24" s="46">
        <f>IF('AAA Summary'!$L$35=4, RANK(H24,H$8:H$82,1)+COUNTIF($H$8:H24,H24)-1, IF('AAA Summary'!$L$35=3, RANK(G24,G$8:G$82,1)+COUNTIF($G$8:G24,G24)-1, IF('AAA Summary'!$L$35=2, RANK(F24,F$8:F$82,1)+COUNTIF($F$8:F24,F24)-1, IF('AAA Summary'!$L$35=1, RANK(E24,E$8:E$82,1)+COUNTIF($E$8:E24,E24)-1))))</f>
        <v>63</v>
      </c>
      <c r="V24" s="34">
        <f>IF('AAA Summary'!$L$35=4, H24, IF('AAA Summary'!$L$35=3, G24, IF('AAA Summary'!$L$35=2, F24, IF('AAA Summary'!$L$35=1, E24))))</f>
        <v>1</v>
      </c>
      <c r="W24" s="11">
        <f t="shared" si="7"/>
        <v>18</v>
      </c>
      <c r="X24" s="11">
        <f t="shared" si="8"/>
        <v>17.699999999999989</v>
      </c>
      <c r="Y24" s="11">
        <v>80</v>
      </c>
      <c r="Z24" s="11">
        <v>56</v>
      </c>
      <c r="AA24" s="11">
        <v>35</v>
      </c>
      <c r="AB24" s="11">
        <v>110</v>
      </c>
      <c r="AC24" s="11">
        <f t="shared" si="5"/>
        <v>21</v>
      </c>
      <c r="AD24" s="11">
        <f t="shared" si="9"/>
        <v>54</v>
      </c>
      <c r="AE24" s="11">
        <v>56</v>
      </c>
      <c r="AF24">
        <v>24</v>
      </c>
      <c r="AG24" s="46" t="b">
        <f>IF('AAA Summary'!$L$4=2, J24, IF('AAA Summary'!$L$4=1, Z24))</f>
        <v>0</v>
      </c>
      <c r="AH24" s="46" t="b">
        <f>IF('AAA Summary'!$L$4=2, W24, IF('AAA Summary'!$L$4=1, AC24))</f>
        <v>0</v>
      </c>
      <c r="AI24" s="46" t="b">
        <f>IF('AAA Summary'!$L$4=2, X24, IF('AAA Summary'!$L$4=1, AD24))</f>
        <v>0</v>
      </c>
      <c r="AJ24" s="46" t="b">
        <f>IF('AAA Summary'!$L$4=2, Y24, IF('AAA Summary'!$L$4=1, AE24))</f>
        <v>0</v>
      </c>
      <c r="AK24" s="8">
        <v>0.51500000000000001</v>
      </c>
    </row>
    <row r="25" spans="1:37" x14ac:dyDescent="0.25">
      <c r="A25" t="s">
        <v>113</v>
      </c>
      <c r="B25" t="s">
        <v>114</v>
      </c>
      <c r="C25" s="50">
        <v>21</v>
      </c>
      <c r="D25" s="50">
        <v>13</v>
      </c>
      <c r="E25" s="51">
        <v>1</v>
      </c>
      <c r="F25" s="51">
        <v>1</v>
      </c>
      <c r="G25" s="51">
        <v>1</v>
      </c>
      <c r="H25" s="51">
        <v>0.9</v>
      </c>
      <c r="I25" s="27" t="s">
        <v>403</v>
      </c>
      <c r="J25">
        <v>42.9</v>
      </c>
      <c r="K25">
        <v>21.8</v>
      </c>
      <c r="L25">
        <v>66</v>
      </c>
      <c r="M25" s="27" t="s">
        <v>265</v>
      </c>
      <c r="N25" s="27" t="s">
        <v>220</v>
      </c>
      <c r="O25" s="52">
        <v>0</v>
      </c>
      <c r="P25" s="27" t="str">
        <f t="shared" si="6"/>
        <v>RWH</v>
      </c>
      <c r="Q25" s="26">
        <f t="shared" si="1"/>
        <v>4</v>
      </c>
      <c r="R25" s="26">
        <f t="shared" si="2"/>
        <v>4</v>
      </c>
      <c r="S25" s="26">
        <f t="shared" si="3"/>
        <v>4</v>
      </c>
      <c r="T25" s="26">
        <f t="shared" si="4"/>
        <v>3</v>
      </c>
      <c r="U25" s="46">
        <f>IF('AAA Summary'!$L$35=4, RANK(H25,H$8:H$82,1)+COUNTIF($H$8:H25,H25)-1, IF('AAA Summary'!$L$35=3, RANK(G25,G$8:G$82,1)+COUNTIF($G$8:G25,G25)-1, IF('AAA Summary'!$L$35=2, RANK(F25,F$8:F$82,1)+COUNTIF($F$8:F25,F25)-1, IF('AAA Summary'!$L$35=1, RANK(E25,E$8:E$82,1)+COUNTIF($E$8:E25,E25)-1))))</f>
        <v>64</v>
      </c>
      <c r="V25" s="34">
        <f>IF('AAA Summary'!$L$35=4, H25, IF('AAA Summary'!$L$35=3, G25, IF('AAA Summary'!$L$35=2, F25, IF('AAA Summary'!$L$35=1, E25))))</f>
        <v>1</v>
      </c>
      <c r="W25" s="11">
        <f t="shared" si="7"/>
        <v>21.099999999999998</v>
      </c>
      <c r="X25" s="11">
        <f t="shared" si="8"/>
        <v>23.1</v>
      </c>
      <c r="Y25" s="11">
        <v>80</v>
      </c>
      <c r="Z25" s="11">
        <v>67</v>
      </c>
      <c r="AA25" s="11">
        <v>35</v>
      </c>
      <c r="AB25" s="11">
        <v>95</v>
      </c>
      <c r="AC25" s="11">
        <f t="shared" si="5"/>
        <v>32</v>
      </c>
      <c r="AD25" s="11">
        <f t="shared" si="9"/>
        <v>28</v>
      </c>
      <c r="AE25" s="11">
        <v>56</v>
      </c>
      <c r="AF25">
        <v>37</v>
      </c>
      <c r="AG25" s="46" t="b">
        <f>IF('AAA Summary'!$L$4=2, J25, IF('AAA Summary'!$L$4=1, Z25))</f>
        <v>0</v>
      </c>
      <c r="AH25" s="46" t="b">
        <f>IF('AAA Summary'!$L$4=2, W25, IF('AAA Summary'!$L$4=1, AC25))</f>
        <v>0</v>
      </c>
      <c r="AI25" s="46" t="b">
        <f>IF('AAA Summary'!$L$4=2, X25, IF('AAA Summary'!$L$4=1, AD25))</f>
        <v>0</v>
      </c>
      <c r="AJ25" s="46" t="b">
        <f>IF('AAA Summary'!$L$4=2, Y25, IF('AAA Summary'!$L$4=1, AE25))</f>
        <v>0</v>
      </c>
      <c r="AK25" s="8">
        <v>0.42899999999999999</v>
      </c>
    </row>
    <row r="26" spans="1:37" x14ac:dyDescent="0.25">
      <c r="A26" t="s">
        <v>102</v>
      </c>
      <c r="B26" t="s">
        <v>103</v>
      </c>
      <c r="C26" s="50">
        <v>53</v>
      </c>
      <c r="D26" s="50">
        <v>28</v>
      </c>
      <c r="E26" s="51">
        <v>0.87</v>
      </c>
      <c r="F26" s="51">
        <v>0.98</v>
      </c>
      <c r="G26" s="51">
        <v>0.86</v>
      </c>
      <c r="H26" s="51">
        <v>0.6</v>
      </c>
      <c r="I26" s="27" t="s">
        <v>404</v>
      </c>
      <c r="J26">
        <v>60.9</v>
      </c>
      <c r="K26">
        <v>45.4</v>
      </c>
      <c r="L26">
        <v>74.900000000000006</v>
      </c>
      <c r="M26" s="27" t="s">
        <v>264</v>
      </c>
      <c r="N26" s="27" t="s">
        <v>235</v>
      </c>
      <c r="O26" s="52">
        <v>6.0000000000000001E-3</v>
      </c>
      <c r="P26" s="27" t="str">
        <f t="shared" si="6"/>
        <v>RVV</v>
      </c>
      <c r="Q26" s="26">
        <f t="shared" si="1"/>
        <v>1</v>
      </c>
      <c r="R26" s="26">
        <f t="shared" si="2"/>
        <v>2</v>
      </c>
      <c r="S26" s="26">
        <f t="shared" si="3"/>
        <v>1</v>
      </c>
      <c r="T26" s="26">
        <f t="shared" si="4"/>
        <v>1</v>
      </c>
      <c r="U26" s="46">
        <f>IF('AAA Summary'!$L$35=4, RANK(H26,H$8:H$82,1)+COUNTIF($H$8:H26,H26)-1, IF('AAA Summary'!$L$35=3, RANK(G26,G$8:G$82,1)+COUNTIF($G$8:G26,G26)-1, IF('AAA Summary'!$L$35=2, RANK(F26,F$8:F$82,1)+COUNTIF($F$8:F26,F26)-1, IF('AAA Summary'!$L$35=1, RANK(E26,E$8:E$82,1)+COUNTIF($E$8:E26,E26)-1))))</f>
        <v>17</v>
      </c>
      <c r="V26" s="34">
        <f>IF('AAA Summary'!$L$35=4, H26, IF('AAA Summary'!$L$35=3, G26, IF('AAA Summary'!$L$35=2, F26, IF('AAA Summary'!$L$35=1, E26))))</f>
        <v>0.87</v>
      </c>
      <c r="W26" s="11">
        <f t="shared" si="7"/>
        <v>15.5</v>
      </c>
      <c r="X26" s="11">
        <f t="shared" si="8"/>
        <v>14.000000000000007</v>
      </c>
      <c r="Y26" s="11">
        <v>80</v>
      </c>
      <c r="Z26" s="11">
        <v>47</v>
      </c>
      <c r="AA26" s="11">
        <v>30</v>
      </c>
      <c r="AB26" s="11">
        <v>85</v>
      </c>
      <c r="AC26" s="11">
        <f t="shared" si="5"/>
        <v>17</v>
      </c>
      <c r="AD26" s="11">
        <f t="shared" si="9"/>
        <v>38</v>
      </c>
      <c r="AE26" s="11">
        <v>56</v>
      </c>
      <c r="AF26">
        <v>13</v>
      </c>
      <c r="AG26" s="46" t="b">
        <f>IF('AAA Summary'!$L$4=2, J26, IF('AAA Summary'!$L$4=1, Z26))</f>
        <v>0</v>
      </c>
      <c r="AH26" s="46" t="b">
        <f>IF('AAA Summary'!$L$4=2, W26, IF('AAA Summary'!$L$4=1, AC26))</f>
        <v>0</v>
      </c>
      <c r="AI26" s="46" t="b">
        <f>IF('AAA Summary'!$L$4=2, X26, IF('AAA Summary'!$L$4=1, AD26))</f>
        <v>0</v>
      </c>
      <c r="AJ26" s="46" t="b">
        <f>IF('AAA Summary'!$L$4=2, Y26, IF('AAA Summary'!$L$4=1, AE26))</f>
        <v>0</v>
      </c>
      <c r="AK26" s="8">
        <v>0.60899999999999999</v>
      </c>
    </row>
    <row r="27" spans="1:37" x14ac:dyDescent="0.25">
      <c r="A27" t="s">
        <v>125</v>
      </c>
      <c r="B27" t="s">
        <v>126</v>
      </c>
      <c r="C27" s="50">
        <v>27</v>
      </c>
      <c r="D27" s="50">
        <v>16</v>
      </c>
      <c r="E27" s="51">
        <v>0.89</v>
      </c>
      <c r="F27" s="51">
        <v>0.96</v>
      </c>
      <c r="G27" s="51">
        <v>0.96</v>
      </c>
      <c r="H27" s="51">
        <v>0.78</v>
      </c>
      <c r="I27" s="27" t="s">
        <v>405</v>
      </c>
      <c r="J27">
        <v>66.7</v>
      </c>
      <c r="K27">
        <v>44.7</v>
      </c>
      <c r="L27">
        <v>84.399999999999991</v>
      </c>
      <c r="M27" s="27" t="s">
        <v>278</v>
      </c>
      <c r="N27" s="27" t="s">
        <v>230</v>
      </c>
      <c r="O27" s="52">
        <v>9.0000000000000011E-3</v>
      </c>
      <c r="P27" s="27" t="str">
        <f t="shared" si="6"/>
        <v>RXR</v>
      </c>
      <c r="Q27" s="26">
        <f t="shared" si="1"/>
        <v>2</v>
      </c>
      <c r="R27" s="26">
        <f t="shared" si="2"/>
        <v>1</v>
      </c>
      <c r="S27" s="26">
        <f t="shared" si="3"/>
        <v>3</v>
      </c>
      <c r="T27" s="26">
        <f t="shared" si="4"/>
        <v>1</v>
      </c>
      <c r="U27" s="46">
        <f>IF('AAA Summary'!$L$35=4, RANK(H27,H$8:H$82,1)+COUNTIF($H$8:H27,H27)-1, IF('AAA Summary'!$L$35=3, RANK(G27,G$8:G$82,1)+COUNTIF($G$8:G27,G27)-1, IF('AAA Summary'!$L$35=2, RANK(F27,F$8:F$82,1)+COUNTIF($F$8:F27,F27)-1, IF('AAA Summary'!$L$35=1, RANK(E27,E$8:E$82,1)+COUNTIF($E$8:E27,E27)-1))))</f>
        <v>23</v>
      </c>
      <c r="V27" s="34">
        <f>IF('AAA Summary'!$L$35=4, H27, IF('AAA Summary'!$L$35=3, G27, IF('AAA Summary'!$L$35=2, F27, IF('AAA Summary'!$L$35=1, E27))))</f>
        <v>0.89</v>
      </c>
      <c r="W27" s="11">
        <f t="shared" si="7"/>
        <v>22</v>
      </c>
      <c r="X27" s="11">
        <f t="shared" si="8"/>
        <v>17.699999999999989</v>
      </c>
      <c r="Y27" s="11">
        <v>80</v>
      </c>
      <c r="Z27" s="11">
        <v>53</v>
      </c>
      <c r="AA27" s="11">
        <v>39</v>
      </c>
      <c r="AB27" s="11">
        <v>77</v>
      </c>
      <c r="AC27" s="11">
        <f t="shared" si="5"/>
        <v>14</v>
      </c>
      <c r="AD27" s="11">
        <f t="shared" si="9"/>
        <v>24</v>
      </c>
      <c r="AE27" s="11">
        <v>56</v>
      </c>
      <c r="AF27">
        <v>19</v>
      </c>
      <c r="AG27" s="46" t="b">
        <f>IF('AAA Summary'!$L$4=2, J27, IF('AAA Summary'!$L$4=1, Z27))</f>
        <v>0</v>
      </c>
      <c r="AH27" s="46" t="b">
        <f>IF('AAA Summary'!$L$4=2, W27, IF('AAA Summary'!$L$4=1, AC27))</f>
        <v>0</v>
      </c>
      <c r="AI27" s="46" t="b">
        <f>IF('AAA Summary'!$L$4=2, X27, IF('AAA Summary'!$L$4=1, AD27))</f>
        <v>0</v>
      </c>
      <c r="AJ27" s="46" t="b">
        <f>IF('AAA Summary'!$L$4=2, Y27, IF('AAA Summary'!$L$4=1, AE27))</f>
        <v>0</v>
      </c>
      <c r="AK27" s="8">
        <v>0.66700000000000004</v>
      </c>
    </row>
    <row r="28" spans="1:37" x14ac:dyDescent="0.25">
      <c r="A28" t="s">
        <v>29</v>
      </c>
      <c r="B28" t="s">
        <v>170</v>
      </c>
      <c r="C28" s="50">
        <v>57</v>
      </c>
      <c r="D28" s="50">
        <v>48</v>
      </c>
      <c r="E28" s="51">
        <v>0.96</v>
      </c>
      <c r="F28" s="51">
        <v>0.98</v>
      </c>
      <c r="G28" s="51">
        <v>0.96</v>
      </c>
      <c r="H28" s="51">
        <v>0.91</v>
      </c>
      <c r="I28" s="27" t="s">
        <v>406</v>
      </c>
      <c r="J28">
        <v>23.599999999999998</v>
      </c>
      <c r="K28">
        <v>13.200000000000001</v>
      </c>
      <c r="L28">
        <v>37</v>
      </c>
      <c r="M28" s="27" t="s">
        <v>407</v>
      </c>
      <c r="N28" s="27" t="s">
        <v>335</v>
      </c>
      <c r="O28" s="52">
        <v>2.2000000000000002E-2</v>
      </c>
      <c r="P28" s="27" t="str">
        <f t="shared" si="6"/>
        <v>RDE</v>
      </c>
      <c r="Q28" s="26">
        <f t="shared" si="1"/>
        <v>3</v>
      </c>
      <c r="R28" s="26">
        <f t="shared" si="2"/>
        <v>2</v>
      </c>
      <c r="S28" s="26">
        <f t="shared" si="3"/>
        <v>3</v>
      </c>
      <c r="T28" s="26">
        <f t="shared" si="4"/>
        <v>3</v>
      </c>
      <c r="U28" s="46">
        <f>IF('AAA Summary'!$L$35=4, RANK(H28,H$8:H$82,1)+COUNTIF($H$8:H28,H28)-1, IF('AAA Summary'!$L$35=3, RANK(G28,G$8:G$82,1)+COUNTIF($G$8:G28,G28)-1, IF('AAA Summary'!$L$35=2, RANK(F28,F$8:F$82,1)+COUNTIF($F$8:F28,F28)-1, IF('AAA Summary'!$L$35=1, RANK(E28,E$8:E$82,1)+COUNTIF($E$8:E28,E28)-1))))</f>
        <v>45</v>
      </c>
      <c r="V28" s="34">
        <f>IF('AAA Summary'!$L$35=4, H28, IF('AAA Summary'!$L$35=3, G28, IF('AAA Summary'!$L$35=2, F28, IF('AAA Summary'!$L$35=1, E28))))</f>
        <v>0.96</v>
      </c>
      <c r="W28" s="11">
        <f t="shared" si="7"/>
        <v>10.399999999999997</v>
      </c>
      <c r="X28" s="11">
        <f t="shared" si="8"/>
        <v>13.400000000000002</v>
      </c>
      <c r="Y28" s="11">
        <v>80</v>
      </c>
      <c r="Z28" s="11">
        <v>122</v>
      </c>
      <c r="AA28" s="11">
        <v>65</v>
      </c>
      <c r="AB28" s="11">
        <v>190</v>
      </c>
      <c r="AC28" s="11">
        <f t="shared" si="5"/>
        <v>57</v>
      </c>
      <c r="AD28" s="11">
        <f t="shared" si="9"/>
        <v>68</v>
      </c>
      <c r="AE28" s="11">
        <v>56</v>
      </c>
      <c r="AF28">
        <v>71</v>
      </c>
      <c r="AG28" s="46" t="b">
        <f>IF('AAA Summary'!$L$4=2, J28, IF('AAA Summary'!$L$4=1, Z28))</f>
        <v>0</v>
      </c>
      <c r="AH28" s="46" t="b">
        <f>IF('AAA Summary'!$L$4=2, W28, IF('AAA Summary'!$L$4=1, AC28))</f>
        <v>0</v>
      </c>
      <c r="AI28" s="46" t="b">
        <f>IF('AAA Summary'!$L$4=2, X28, IF('AAA Summary'!$L$4=1, AD28))</f>
        <v>0</v>
      </c>
      <c r="AJ28" s="46" t="b">
        <f>IF('AAA Summary'!$L$4=2, Y28, IF('AAA Summary'!$L$4=1, AE28))</f>
        <v>0</v>
      </c>
      <c r="AK28" s="8">
        <v>0.23599999999999999</v>
      </c>
    </row>
    <row r="29" spans="1:37" x14ac:dyDescent="0.25">
      <c r="A29" t="s">
        <v>30</v>
      </c>
      <c r="B29" t="s">
        <v>31</v>
      </c>
      <c r="C29" s="50">
        <v>59</v>
      </c>
      <c r="D29" s="50">
        <v>33</v>
      </c>
      <c r="E29" s="51">
        <v>0.98</v>
      </c>
      <c r="F29" s="51">
        <v>0.95</v>
      </c>
      <c r="G29" s="51">
        <v>0.98</v>
      </c>
      <c r="H29" s="51">
        <v>0.98</v>
      </c>
      <c r="I29" s="27" t="s">
        <v>408</v>
      </c>
      <c r="J29">
        <v>56.899999999999991</v>
      </c>
      <c r="K29">
        <v>43.2</v>
      </c>
      <c r="L29">
        <v>69.8</v>
      </c>
      <c r="M29" s="27" t="s">
        <v>261</v>
      </c>
      <c r="N29" s="27" t="s">
        <v>235</v>
      </c>
      <c r="O29" s="52">
        <v>2.7999999999999997E-2</v>
      </c>
      <c r="P29" s="27" t="str">
        <f t="shared" si="6"/>
        <v>RDU</v>
      </c>
      <c r="Q29" s="26">
        <f t="shared" si="1"/>
        <v>4</v>
      </c>
      <c r="R29" s="26">
        <f t="shared" si="2"/>
        <v>1</v>
      </c>
      <c r="S29" s="26">
        <f t="shared" si="3"/>
        <v>3</v>
      </c>
      <c r="T29" s="26">
        <f t="shared" si="4"/>
        <v>4</v>
      </c>
      <c r="U29" s="46">
        <f>IF('AAA Summary'!$L$35=4, RANK(H29,H$8:H$82,1)+COUNTIF($H$8:H29,H29)-1, IF('AAA Summary'!$L$35=3, RANK(G29,G$8:G$82,1)+COUNTIF($G$8:G29,G29)-1, IF('AAA Summary'!$L$35=2, RANK(F29,F$8:F$82,1)+COUNTIF($F$8:F29,F29)-1, IF('AAA Summary'!$L$35=1, RANK(E29,E$8:E$82,1)+COUNTIF($E$8:E29,E29)-1))))</f>
        <v>56</v>
      </c>
      <c r="V29" s="34">
        <f>IF('AAA Summary'!$L$35=4, H29, IF('AAA Summary'!$L$35=3, G29, IF('AAA Summary'!$L$35=2, F29, IF('AAA Summary'!$L$35=1, E29))))</f>
        <v>0.98</v>
      </c>
      <c r="W29" s="11">
        <f t="shared" si="7"/>
        <v>13.699999999999989</v>
      </c>
      <c r="X29" s="11">
        <f t="shared" si="8"/>
        <v>12.900000000000006</v>
      </c>
      <c r="Y29" s="11">
        <v>80</v>
      </c>
      <c r="Z29" s="11">
        <v>45</v>
      </c>
      <c r="AA29" s="11">
        <v>28</v>
      </c>
      <c r="AB29" s="11">
        <v>90</v>
      </c>
      <c r="AC29" s="11">
        <f>Z29-AA29</f>
        <v>17</v>
      </c>
      <c r="AD29" s="11">
        <f t="shared" si="9"/>
        <v>45</v>
      </c>
      <c r="AE29" s="11">
        <v>56</v>
      </c>
      <c r="AF29">
        <v>7</v>
      </c>
      <c r="AG29" s="46" t="b">
        <f>IF('AAA Summary'!$L$4=2, J29, IF('AAA Summary'!$L$4=1, Z29))</f>
        <v>0</v>
      </c>
      <c r="AH29" s="46" t="b">
        <f>IF('AAA Summary'!$L$4=2, W29, IF('AAA Summary'!$L$4=1, AC29))</f>
        <v>0</v>
      </c>
      <c r="AI29" s="46" t="b">
        <f>IF('AAA Summary'!$L$4=2, X29, IF('AAA Summary'!$L$4=1, AD29))</f>
        <v>0</v>
      </c>
      <c r="AJ29" s="46" t="b">
        <f>IF('AAA Summary'!$L$4=2, Y29, IF('AAA Summary'!$L$4=1, AE29))</f>
        <v>0</v>
      </c>
      <c r="AK29" s="8">
        <v>0.56899999999999995</v>
      </c>
    </row>
    <row r="30" spans="1:37" x14ac:dyDescent="0.25">
      <c r="A30" t="s">
        <v>93</v>
      </c>
      <c r="B30" t="s">
        <v>94</v>
      </c>
      <c r="C30" s="50">
        <v>51</v>
      </c>
      <c r="D30" s="50">
        <v>22</v>
      </c>
      <c r="E30" s="51">
        <v>0.76</v>
      </c>
      <c r="F30" s="51">
        <v>0.98</v>
      </c>
      <c r="G30" s="51">
        <v>0.77</v>
      </c>
      <c r="H30" s="51">
        <v>0.73</v>
      </c>
      <c r="I30" s="27" t="s">
        <v>409</v>
      </c>
      <c r="J30">
        <v>82.1</v>
      </c>
      <c r="K30">
        <v>66.5</v>
      </c>
      <c r="L30">
        <v>92.5</v>
      </c>
      <c r="M30" s="27" t="s">
        <v>254</v>
      </c>
      <c r="N30" s="27" t="s">
        <v>220</v>
      </c>
      <c r="O30" s="52">
        <v>6.0000000000000001E-3</v>
      </c>
      <c r="P30" s="27" t="str">
        <f t="shared" si="6"/>
        <v>RTE</v>
      </c>
      <c r="Q30" s="26">
        <f t="shared" si="1"/>
        <v>1</v>
      </c>
      <c r="R30" s="26">
        <f t="shared" si="2"/>
        <v>2</v>
      </c>
      <c r="S30" s="26">
        <f t="shared" si="3"/>
        <v>1</v>
      </c>
      <c r="T30" s="26">
        <f t="shared" si="4"/>
        <v>1</v>
      </c>
      <c r="U30" s="46">
        <f>IF('AAA Summary'!$L$35=4, RANK(H30,H$8:H$82,1)+COUNTIF($H$8:H30,H30)-1, IF('AAA Summary'!$L$35=3, RANK(G30,G$8:G$82,1)+COUNTIF($G$8:G30,G30)-1, IF('AAA Summary'!$L$35=2, RANK(F30,F$8:F$82,1)+COUNTIF($F$8:F30,F30)-1, IF('AAA Summary'!$L$35=1, RANK(E30,E$8:E$82,1)+COUNTIF($E$8:E30,E30)-1))))</f>
        <v>9</v>
      </c>
      <c r="V30" s="34">
        <f>IF('AAA Summary'!$L$35=4, H30, IF('AAA Summary'!$L$35=3, G30, IF('AAA Summary'!$L$35=2, F30, IF('AAA Summary'!$L$35=1, E30))))</f>
        <v>0.76</v>
      </c>
      <c r="W30" s="11">
        <f t="shared" si="7"/>
        <v>15.599999999999994</v>
      </c>
      <c r="X30" s="11">
        <f t="shared" si="8"/>
        <v>10.400000000000006</v>
      </c>
      <c r="Y30" s="11">
        <v>80</v>
      </c>
      <c r="Z30" s="11">
        <v>35</v>
      </c>
      <c r="AA30" s="11">
        <v>22</v>
      </c>
      <c r="AB30" s="11">
        <v>49</v>
      </c>
      <c r="AC30" s="11">
        <f t="shared" ref="AC30:AC82" si="10">Z30-AA30</f>
        <v>13</v>
      </c>
      <c r="AD30" s="11">
        <f t="shared" si="9"/>
        <v>14</v>
      </c>
      <c r="AE30" s="11">
        <v>56</v>
      </c>
      <c r="AF30">
        <v>2</v>
      </c>
      <c r="AG30" s="46" t="b">
        <f>IF('AAA Summary'!$L$4=2, J30, IF('AAA Summary'!$L$4=1, Z30))</f>
        <v>0</v>
      </c>
      <c r="AH30" s="46" t="b">
        <f>IF('AAA Summary'!$L$4=2, W30, IF('AAA Summary'!$L$4=1, AC30))</f>
        <v>0</v>
      </c>
      <c r="AI30" s="46" t="b">
        <f>IF('AAA Summary'!$L$4=2, X30, IF('AAA Summary'!$L$4=1, AD30))</f>
        <v>0</v>
      </c>
      <c r="AJ30" s="46" t="b">
        <f>IF('AAA Summary'!$L$4=2, Y30, IF('AAA Summary'!$L$4=1, AE30))</f>
        <v>0</v>
      </c>
      <c r="AK30" s="8">
        <v>0.82099999999999995</v>
      </c>
    </row>
    <row r="31" spans="1:37" x14ac:dyDescent="0.25">
      <c r="A31" t="s">
        <v>50</v>
      </c>
      <c r="B31" t="s">
        <v>51</v>
      </c>
      <c r="C31" s="50">
        <v>101</v>
      </c>
      <c r="D31" s="50">
        <v>70</v>
      </c>
      <c r="E31" s="51">
        <v>0.62</v>
      </c>
      <c r="F31" s="51">
        <v>0.93</v>
      </c>
      <c r="G31" s="51">
        <v>0.65</v>
      </c>
      <c r="H31" s="51">
        <v>0.43</v>
      </c>
      <c r="I31" s="27" t="s">
        <v>410</v>
      </c>
      <c r="J31">
        <v>34.9</v>
      </c>
      <c r="K31">
        <v>23.3</v>
      </c>
      <c r="L31">
        <v>48</v>
      </c>
      <c r="M31" s="27" t="s">
        <v>265</v>
      </c>
      <c r="N31" s="27" t="s">
        <v>252</v>
      </c>
      <c r="O31" s="52">
        <v>3.0000000000000001E-3</v>
      </c>
      <c r="P31" s="27" t="str">
        <f t="shared" si="6"/>
        <v>RJ1</v>
      </c>
      <c r="Q31" s="26">
        <f t="shared" si="1"/>
        <v>1</v>
      </c>
      <c r="R31" s="26">
        <f t="shared" si="2"/>
        <v>1</v>
      </c>
      <c r="S31" s="26">
        <f t="shared" si="3"/>
        <v>1</v>
      </c>
      <c r="T31" s="26">
        <f t="shared" si="4"/>
        <v>1</v>
      </c>
      <c r="U31" s="46">
        <f>IF('AAA Summary'!$L$35=4, RANK(H31,H$8:H$82,1)+COUNTIF($H$8:H31,H31)-1, IF('AAA Summary'!$L$35=3, RANK(G31,G$8:G$82,1)+COUNTIF($G$8:G31,G31)-1, IF('AAA Summary'!$L$35=2, RANK(F31,F$8:F$82,1)+COUNTIF($F$8:F31,F31)-1, IF('AAA Summary'!$L$35=1, RANK(E31,E$8:E$82,1)+COUNTIF($E$8:E31,E31)-1))))</f>
        <v>4</v>
      </c>
      <c r="V31" s="34">
        <f>IF('AAA Summary'!$L$35=4, H31, IF('AAA Summary'!$L$35=3, G31, IF('AAA Summary'!$L$35=2, F31, IF('AAA Summary'!$L$35=1, E31))))</f>
        <v>0.62</v>
      </c>
      <c r="W31" s="11">
        <f t="shared" si="7"/>
        <v>11.599999999999998</v>
      </c>
      <c r="X31" s="11">
        <f t="shared" si="8"/>
        <v>13.100000000000001</v>
      </c>
      <c r="Y31" s="11">
        <v>80</v>
      </c>
      <c r="Z31" s="11">
        <v>73</v>
      </c>
      <c r="AA31" s="11">
        <v>46</v>
      </c>
      <c r="AB31" s="11">
        <v>138</v>
      </c>
      <c r="AC31" s="11">
        <f t="shared" si="10"/>
        <v>27</v>
      </c>
      <c r="AD31" s="11">
        <f t="shared" si="9"/>
        <v>65</v>
      </c>
      <c r="AE31" s="11">
        <v>56</v>
      </c>
      <c r="AF31">
        <v>43</v>
      </c>
      <c r="AG31" s="46" t="b">
        <f>IF('AAA Summary'!$L$4=2, J31, IF('AAA Summary'!$L$4=1, Z31))</f>
        <v>0</v>
      </c>
      <c r="AH31" s="46" t="b">
        <f>IF('AAA Summary'!$L$4=2, W31, IF('AAA Summary'!$L$4=1, AC31))</f>
        <v>0</v>
      </c>
      <c r="AI31" s="46" t="b">
        <f>IF('AAA Summary'!$L$4=2, X31, IF('AAA Summary'!$L$4=1, AD31))</f>
        <v>0</v>
      </c>
      <c r="AJ31" s="46" t="b">
        <f>IF('AAA Summary'!$L$4=2, Y31, IF('AAA Summary'!$L$4=1, AE31))</f>
        <v>0</v>
      </c>
      <c r="AK31" s="8">
        <v>0.34899999999999998</v>
      </c>
    </row>
    <row r="32" spans="1:37" x14ac:dyDescent="0.25">
      <c r="A32" t="s">
        <v>106</v>
      </c>
      <c r="B32" t="s">
        <v>356</v>
      </c>
      <c r="C32" s="50">
        <v>50</v>
      </c>
      <c r="D32" s="50">
        <v>31</v>
      </c>
      <c r="E32" s="51">
        <v>0.96</v>
      </c>
      <c r="F32" s="51">
        <v>0</v>
      </c>
      <c r="G32" s="51">
        <v>0.96</v>
      </c>
      <c r="H32" s="51">
        <v>0.98</v>
      </c>
      <c r="I32" s="27" t="s">
        <v>411</v>
      </c>
      <c r="J32">
        <v>45.800000000000004</v>
      </c>
      <c r="K32">
        <v>31.4</v>
      </c>
      <c r="L32">
        <v>60.8</v>
      </c>
      <c r="M32" s="27" t="s">
        <v>329</v>
      </c>
      <c r="N32" s="27" t="s">
        <v>188</v>
      </c>
      <c r="O32" s="52">
        <v>0</v>
      </c>
      <c r="P32" s="27" t="str">
        <f t="shared" si="6"/>
        <v>RWA</v>
      </c>
      <c r="Q32" s="26">
        <f t="shared" si="1"/>
        <v>3</v>
      </c>
      <c r="R32" s="26">
        <f t="shared" si="2"/>
        <v>1</v>
      </c>
      <c r="S32" s="26">
        <f t="shared" si="3"/>
        <v>3</v>
      </c>
      <c r="T32" s="26">
        <f t="shared" si="4"/>
        <v>4</v>
      </c>
      <c r="U32" s="46">
        <f>IF('AAA Summary'!$L$35=4, RANK(H32,H$8:H$82,1)+COUNTIF($H$8:H32,H32)-1, IF('AAA Summary'!$L$35=3, RANK(G32,G$8:G$82,1)+COUNTIF($G$8:G32,G32)-1, IF('AAA Summary'!$L$35=2, RANK(F32,F$8:F$82,1)+COUNTIF($F$8:F32,F32)-1, IF('AAA Summary'!$L$35=1, RANK(E32,E$8:E$82,1)+COUNTIF($E$8:E32,E32)-1))))</f>
        <v>46</v>
      </c>
      <c r="V32" s="34">
        <f>IF('AAA Summary'!$L$35=4, H32, IF('AAA Summary'!$L$35=3, G32, IF('AAA Summary'!$L$35=2, F32, IF('AAA Summary'!$L$35=1, E32))))</f>
        <v>0.96</v>
      </c>
      <c r="W32" s="11">
        <f t="shared" si="7"/>
        <v>14.400000000000006</v>
      </c>
      <c r="X32" s="11">
        <f t="shared" si="8"/>
        <v>14.999999999999993</v>
      </c>
      <c r="Y32" s="11">
        <v>80</v>
      </c>
      <c r="Z32" s="11">
        <v>63</v>
      </c>
      <c r="AA32" s="11">
        <v>37</v>
      </c>
      <c r="AB32" s="11">
        <v>110</v>
      </c>
      <c r="AC32" s="11">
        <f t="shared" si="10"/>
        <v>26</v>
      </c>
      <c r="AD32" s="11">
        <f t="shared" si="9"/>
        <v>47</v>
      </c>
      <c r="AE32" s="11">
        <v>56</v>
      </c>
      <c r="AF32">
        <v>33</v>
      </c>
      <c r="AG32" s="46" t="b">
        <f>IF('AAA Summary'!$L$4=2, J32, IF('AAA Summary'!$L$4=1, Z32))</f>
        <v>0</v>
      </c>
      <c r="AH32" s="46" t="b">
        <f>IF('AAA Summary'!$L$4=2, W32, IF('AAA Summary'!$L$4=1, AC32))</f>
        <v>0</v>
      </c>
      <c r="AI32" s="46" t="b">
        <f>IF('AAA Summary'!$L$4=2, X32, IF('AAA Summary'!$L$4=1, AD32))</f>
        <v>0</v>
      </c>
      <c r="AJ32" s="46" t="b">
        <f>IF('AAA Summary'!$L$4=2, Y32, IF('AAA Summary'!$L$4=1, AE32))</f>
        <v>0</v>
      </c>
      <c r="AK32" s="8">
        <v>0.45800000000000002</v>
      </c>
    </row>
    <row r="33" spans="1:37" x14ac:dyDescent="0.25">
      <c r="A33" t="s">
        <v>129</v>
      </c>
      <c r="B33" t="s">
        <v>130</v>
      </c>
      <c r="C33" s="50">
        <v>32</v>
      </c>
      <c r="D33" s="50">
        <v>23</v>
      </c>
      <c r="E33" s="51">
        <v>0.28000000000000003</v>
      </c>
      <c r="F33" s="51">
        <v>1</v>
      </c>
      <c r="G33" s="51">
        <v>0.31</v>
      </c>
      <c r="H33" s="51">
        <v>0.28000000000000003</v>
      </c>
      <c r="I33" s="27" t="s">
        <v>412</v>
      </c>
      <c r="J33" t="e">
        <v>#VALUE!</v>
      </c>
      <c r="K33" t="e">
        <v>#N/A</v>
      </c>
      <c r="L33" t="e">
        <v>#N/A</v>
      </c>
      <c r="M33" s="27" t="s">
        <v>256</v>
      </c>
      <c r="N33" s="27" t="s">
        <v>413</v>
      </c>
      <c r="O33" s="52">
        <v>0</v>
      </c>
      <c r="P33" s="27" t="str">
        <f t="shared" si="6"/>
        <v>RYJ</v>
      </c>
      <c r="Q33" s="26">
        <f t="shared" si="1"/>
        <v>1</v>
      </c>
      <c r="R33" s="26">
        <f t="shared" si="2"/>
        <v>4</v>
      </c>
      <c r="S33" s="26">
        <f t="shared" si="3"/>
        <v>1</v>
      </c>
      <c r="T33" s="26">
        <f t="shared" si="4"/>
        <v>1</v>
      </c>
      <c r="U33" s="46">
        <f>IF('AAA Summary'!$L$35=4, RANK(H33,H$8:H$82,1)+COUNTIF($H$8:H33,H33)-1, IF('AAA Summary'!$L$35=3, RANK(G33,G$8:G$82,1)+COUNTIF($G$8:G33,G33)-1, IF('AAA Summary'!$L$35=2, RANK(F33,F$8:F$82,1)+COUNTIF($F$8:F33,F33)-1, IF('AAA Summary'!$L$35=1, RANK(E33,E$8:E$82,1)+COUNTIF($E$8:E33,E33)-1))))</f>
        <v>1</v>
      </c>
      <c r="V33" s="34">
        <f>IF('AAA Summary'!$L$35=4, H33, IF('AAA Summary'!$L$35=3, G33, IF('AAA Summary'!$L$35=2, F33, IF('AAA Summary'!$L$35=1, E33))))</f>
        <v>0.28000000000000003</v>
      </c>
      <c r="W33" s="11" t="e">
        <f t="shared" si="7"/>
        <v>#VALUE!</v>
      </c>
      <c r="X33" s="11" t="e">
        <f t="shared" si="8"/>
        <v>#N/A</v>
      </c>
      <c r="Y33" s="11">
        <v>80</v>
      </c>
      <c r="Z33" s="11">
        <v>30</v>
      </c>
      <c r="AA33" s="11">
        <v>11</v>
      </c>
      <c r="AB33" s="11">
        <v>76</v>
      </c>
      <c r="AC33" s="11">
        <f t="shared" si="10"/>
        <v>19</v>
      </c>
      <c r="AD33" s="11">
        <f t="shared" si="9"/>
        <v>46</v>
      </c>
      <c r="AE33" s="11">
        <v>56</v>
      </c>
      <c r="AF33">
        <v>1</v>
      </c>
      <c r="AG33" s="46" t="b">
        <f>IF('AAA Summary'!$L$4=2, J33, IF('AAA Summary'!$L$4=1, Z33))</f>
        <v>0</v>
      </c>
      <c r="AH33" s="46" t="b">
        <f>IF('AAA Summary'!$L$4=2, W33, IF('AAA Summary'!$L$4=1, AC33))</f>
        <v>0</v>
      </c>
      <c r="AI33" s="46" t="b">
        <f>IF('AAA Summary'!$L$4=2, X33, IF('AAA Summary'!$L$4=1, AD33))</f>
        <v>0</v>
      </c>
      <c r="AJ33" s="46" t="b">
        <f>IF('AAA Summary'!$L$4=2, Y33, IF('AAA Summary'!$L$4=1, AE33))</f>
        <v>0</v>
      </c>
      <c r="AK33" s="8" t="s">
        <v>284</v>
      </c>
    </row>
    <row r="34" spans="1:37" x14ac:dyDescent="0.25">
      <c r="A34" t="s">
        <v>58</v>
      </c>
      <c r="B34" t="s">
        <v>59</v>
      </c>
      <c r="C34" s="50">
        <v>5</v>
      </c>
      <c r="D34" s="50">
        <v>4</v>
      </c>
      <c r="E34" s="51">
        <v>1</v>
      </c>
      <c r="F34" s="51">
        <v>1</v>
      </c>
      <c r="G34" s="51">
        <v>1</v>
      </c>
      <c r="H34" s="51">
        <v>1</v>
      </c>
      <c r="I34" s="27" t="s">
        <v>276</v>
      </c>
      <c r="J34" t="e">
        <v>#VALUE!</v>
      </c>
      <c r="K34" t="e">
        <v>#N/A</v>
      </c>
      <c r="L34" t="e">
        <v>#N/A</v>
      </c>
      <c r="M34" s="27" t="s">
        <v>276</v>
      </c>
      <c r="N34" s="27" t="s">
        <v>276</v>
      </c>
      <c r="O34" s="52">
        <v>5.7000000000000002E-2</v>
      </c>
      <c r="P34" s="27" t="str">
        <f t="shared" si="6"/>
        <v>RJZ</v>
      </c>
      <c r="Q34" s="26">
        <f t="shared" si="1"/>
        <v>4</v>
      </c>
      <c r="R34" s="26">
        <f t="shared" si="2"/>
        <v>4</v>
      </c>
      <c r="S34" s="26">
        <f t="shared" si="3"/>
        <v>4</v>
      </c>
      <c r="T34" s="26">
        <f t="shared" si="4"/>
        <v>4</v>
      </c>
      <c r="U34" s="46">
        <f>IF('AAA Summary'!$L$35=4, RANK(H34,H$8:H$82,1)+COUNTIF($H$8:H34,H34)-1, IF('AAA Summary'!$L$35=3, RANK(G34,G$8:G$82,1)+COUNTIF($G$8:G34,G34)-1, IF('AAA Summary'!$L$35=2, RANK(F34,F$8:F$82,1)+COUNTIF($F$8:F34,F34)-1, IF('AAA Summary'!$L$35=1, RANK(E34,E$8:E$82,1)+COUNTIF($E$8:E34,E34)-1))))</f>
        <v>65</v>
      </c>
      <c r="V34" s="34">
        <f>IF('AAA Summary'!$L$35=4, H34, IF('AAA Summary'!$L$35=3, G34, IF('AAA Summary'!$L$35=2, F34, IF('AAA Summary'!$L$35=1, E34))))</f>
        <v>1</v>
      </c>
      <c r="W34" s="11" t="e">
        <f t="shared" si="7"/>
        <v>#VALUE!</v>
      </c>
      <c r="X34" s="11" t="e">
        <f t="shared" si="8"/>
        <v>#N/A</v>
      </c>
      <c r="Y34" s="11">
        <v>80</v>
      </c>
      <c r="Z34" s="11" t="s">
        <v>276</v>
      </c>
      <c r="AA34" s="11" t="e">
        <v>#VALUE!</v>
      </c>
      <c r="AB34" s="11" t="e">
        <v>#VALUE!</v>
      </c>
      <c r="AC34" s="11" t="e">
        <f t="shared" si="10"/>
        <v>#VALUE!</v>
      </c>
      <c r="AD34" s="11" t="e">
        <f t="shared" si="9"/>
        <v>#VALUE!</v>
      </c>
      <c r="AE34" s="11">
        <v>56</v>
      </c>
      <c r="AF34">
        <v>73</v>
      </c>
      <c r="AG34" s="46" t="b">
        <f>IF('AAA Summary'!$L$4=2, J34, IF('AAA Summary'!$L$4=1, Z34))</f>
        <v>0</v>
      </c>
      <c r="AH34" s="46" t="b">
        <f>IF('AAA Summary'!$L$4=2, W34, IF('AAA Summary'!$L$4=1, AC34))</f>
        <v>0</v>
      </c>
      <c r="AI34" s="46" t="b">
        <f>IF('AAA Summary'!$L$4=2, X34, IF('AAA Summary'!$L$4=1, AD34))</f>
        <v>0</v>
      </c>
      <c r="AJ34" s="46" t="b">
        <f>IF('AAA Summary'!$L$4=2, Y34, IF('AAA Summary'!$L$4=1, AE34))</f>
        <v>0</v>
      </c>
      <c r="AK34" s="8" t="s">
        <v>284</v>
      </c>
    </row>
    <row r="35" spans="1:37" x14ac:dyDescent="0.25">
      <c r="A35" t="s">
        <v>123</v>
      </c>
      <c r="B35" t="s">
        <v>124</v>
      </c>
      <c r="C35" s="50">
        <v>84</v>
      </c>
      <c r="D35" s="50">
        <v>57</v>
      </c>
      <c r="E35" s="51">
        <v>0.96</v>
      </c>
      <c r="F35" s="51">
        <v>1</v>
      </c>
      <c r="G35" s="51">
        <v>0.96</v>
      </c>
      <c r="H35" s="51">
        <v>0.95</v>
      </c>
      <c r="I35" s="27" t="s">
        <v>414</v>
      </c>
      <c r="J35">
        <v>18.5</v>
      </c>
      <c r="K35">
        <v>10.8</v>
      </c>
      <c r="L35">
        <v>28.7</v>
      </c>
      <c r="M35" s="27" t="s">
        <v>239</v>
      </c>
      <c r="N35" s="27" t="s">
        <v>220</v>
      </c>
      <c r="O35" s="52">
        <v>9.0000000000000011E-3</v>
      </c>
      <c r="P35" s="27" t="str">
        <f t="shared" si="6"/>
        <v>RXN</v>
      </c>
      <c r="Q35" s="26">
        <f t="shared" si="1"/>
        <v>3</v>
      </c>
      <c r="R35" s="26">
        <f t="shared" si="2"/>
        <v>4</v>
      </c>
      <c r="S35" s="26">
        <f t="shared" si="3"/>
        <v>3</v>
      </c>
      <c r="T35" s="26">
        <f t="shared" si="4"/>
        <v>3</v>
      </c>
      <c r="U35" s="46">
        <f>IF('AAA Summary'!$L$35=4, RANK(H35,H$8:H$82,1)+COUNTIF($H$8:H35,H35)-1, IF('AAA Summary'!$L$35=3, RANK(G35,G$8:G$82,1)+COUNTIF($G$8:G35,G35)-1, IF('AAA Summary'!$L$35=2, RANK(F35,F$8:F$82,1)+COUNTIF($F$8:F35,F35)-1, IF('AAA Summary'!$L$35=1, RANK(E35,E$8:E$82,1)+COUNTIF($E$8:E35,E35)-1))))</f>
        <v>47</v>
      </c>
      <c r="V35" s="34">
        <f>IF('AAA Summary'!$L$35=4, H35, IF('AAA Summary'!$L$35=3, G35, IF('AAA Summary'!$L$35=2, F35, IF('AAA Summary'!$L$35=1, E35))))</f>
        <v>0.96</v>
      </c>
      <c r="W35" s="11">
        <f t="shared" si="7"/>
        <v>7.6999999999999993</v>
      </c>
      <c r="X35" s="11">
        <f t="shared" si="8"/>
        <v>10.199999999999999</v>
      </c>
      <c r="Y35" s="11">
        <v>80</v>
      </c>
      <c r="Z35" s="11">
        <v>96</v>
      </c>
      <c r="AA35" s="11">
        <v>68</v>
      </c>
      <c r="AB35" s="11">
        <v>131</v>
      </c>
      <c r="AC35" s="11">
        <f t="shared" si="10"/>
        <v>28</v>
      </c>
      <c r="AD35" s="11">
        <f t="shared" si="9"/>
        <v>35</v>
      </c>
      <c r="AE35" s="11">
        <v>56</v>
      </c>
      <c r="AF35">
        <v>66</v>
      </c>
      <c r="AG35" s="46" t="b">
        <f>IF('AAA Summary'!$L$4=2, J35, IF('AAA Summary'!$L$4=1, Z35))</f>
        <v>0</v>
      </c>
      <c r="AH35" s="46" t="b">
        <f>IF('AAA Summary'!$L$4=2, W35, IF('AAA Summary'!$L$4=1, AC35))</f>
        <v>0</v>
      </c>
      <c r="AI35" s="46" t="b">
        <f>IF('AAA Summary'!$L$4=2, X35, IF('AAA Summary'!$L$4=1, AD35))</f>
        <v>0</v>
      </c>
      <c r="AJ35" s="46" t="b">
        <f>IF('AAA Summary'!$L$4=2, Y35, IF('AAA Summary'!$L$4=1, AE35))</f>
        <v>0</v>
      </c>
      <c r="AK35" s="8">
        <v>0.185</v>
      </c>
    </row>
    <row r="36" spans="1:37" x14ac:dyDescent="0.25">
      <c r="A36" t="s">
        <v>83</v>
      </c>
      <c r="B36" t="s">
        <v>84</v>
      </c>
      <c r="C36" s="50">
        <v>34</v>
      </c>
      <c r="D36" s="50">
        <v>22</v>
      </c>
      <c r="E36" s="51">
        <v>0.71</v>
      </c>
      <c r="F36" s="51">
        <v>1</v>
      </c>
      <c r="G36" s="51">
        <v>0.7</v>
      </c>
      <c r="H36" s="51">
        <v>0.76</v>
      </c>
      <c r="I36" s="27" t="s">
        <v>415</v>
      </c>
      <c r="J36">
        <v>58.3</v>
      </c>
      <c r="K36">
        <v>36.6</v>
      </c>
      <c r="L36">
        <v>77.900000000000006</v>
      </c>
      <c r="M36" s="27" t="s">
        <v>330</v>
      </c>
      <c r="N36" s="27" t="s">
        <v>194</v>
      </c>
      <c r="O36" s="52">
        <v>6.0000000000000001E-3</v>
      </c>
      <c r="P36" s="27" t="str">
        <f t="shared" si="6"/>
        <v>RR8</v>
      </c>
      <c r="Q36" s="26">
        <f t="shared" si="1"/>
        <v>1</v>
      </c>
      <c r="R36" s="26">
        <f t="shared" si="2"/>
        <v>4</v>
      </c>
      <c r="S36" s="26">
        <f t="shared" si="3"/>
        <v>1</v>
      </c>
      <c r="T36" s="26">
        <f t="shared" si="4"/>
        <v>1</v>
      </c>
      <c r="U36" s="46">
        <f>IF('AAA Summary'!$L$35=4, RANK(H36,H$8:H$82,1)+COUNTIF($H$8:H36,H36)-1, IF('AAA Summary'!$L$35=3, RANK(G36,G$8:G$82,1)+COUNTIF($G$8:G36,G36)-1, IF('AAA Summary'!$L$35=2, RANK(F36,F$8:F$82,1)+COUNTIF($F$8:F36,F36)-1, IF('AAA Summary'!$L$35=1, RANK(E36,E$8:E$82,1)+COUNTIF($E$8:E36,E36)-1))))</f>
        <v>6</v>
      </c>
      <c r="V36" s="34">
        <f>IF('AAA Summary'!$L$35=4, H36, IF('AAA Summary'!$L$35=3, G36, IF('AAA Summary'!$L$35=2, F36, IF('AAA Summary'!$L$35=1, E36))))</f>
        <v>0.71</v>
      </c>
      <c r="W36" s="11">
        <f t="shared" si="7"/>
        <v>21.699999999999996</v>
      </c>
      <c r="X36" s="11">
        <f t="shared" si="8"/>
        <v>19.600000000000009</v>
      </c>
      <c r="Y36" s="11">
        <v>80</v>
      </c>
      <c r="Z36" s="11">
        <v>40</v>
      </c>
      <c r="AA36" s="11">
        <v>27</v>
      </c>
      <c r="AB36" s="11">
        <v>66</v>
      </c>
      <c r="AC36" s="11">
        <f t="shared" si="10"/>
        <v>13</v>
      </c>
      <c r="AD36" s="11">
        <f t="shared" si="9"/>
        <v>26</v>
      </c>
      <c r="AE36" s="11">
        <v>56</v>
      </c>
      <c r="AF36">
        <v>4</v>
      </c>
      <c r="AG36" s="46" t="b">
        <f>IF('AAA Summary'!$L$4=2, J36, IF('AAA Summary'!$L$4=1, Z36))</f>
        <v>0</v>
      </c>
      <c r="AH36" s="46" t="b">
        <f>IF('AAA Summary'!$L$4=2, W36, IF('AAA Summary'!$L$4=1, AC36))</f>
        <v>0</v>
      </c>
      <c r="AI36" s="46" t="b">
        <f>IF('AAA Summary'!$L$4=2, X36, IF('AAA Summary'!$L$4=1, AD36))</f>
        <v>0</v>
      </c>
      <c r="AJ36" s="46" t="b">
        <f>IF('AAA Summary'!$L$4=2, Y36, IF('AAA Summary'!$L$4=1, AE36))</f>
        <v>0</v>
      </c>
      <c r="AK36" s="8">
        <v>0.58299999999999996</v>
      </c>
    </row>
    <row r="37" spans="1:37" x14ac:dyDescent="0.25">
      <c r="A37" t="s">
        <v>34</v>
      </c>
      <c r="B37" t="s">
        <v>357</v>
      </c>
      <c r="C37" s="50">
        <v>70</v>
      </c>
      <c r="D37" s="50">
        <v>33</v>
      </c>
      <c r="E37" s="51">
        <v>0.9</v>
      </c>
      <c r="F37" s="51">
        <v>0.99</v>
      </c>
      <c r="G37" s="51">
        <v>0.89</v>
      </c>
      <c r="H37" s="51">
        <v>0.77</v>
      </c>
      <c r="I37" s="27" t="s">
        <v>416</v>
      </c>
      <c r="J37">
        <v>23.799999999999997</v>
      </c>
      <c r="K37">
        <v>14.000000000000002</v>
      </c>
      <c r="L37">
        <v>36.199999999999996</v>
      </c>
      <c r="M37" s="27" t="s">
        <v>239</v>
      </c>
      <c r="N37" s="27" t="s">
        <v>235</v>
      </c>
      <c r="O37" s="52">
        <v>1.1000000000000001E-2</v>
      </c>
      <c r="P37" s="27" t="str">
        <f t="shared" si="6"/>
        <v>REM</v>
      </c>
      <c r="Q37" s="26">
        <f t="shared" si="1"/>
        <v>2</v>
      </c>
      <c r="R37" s="26">
        <f t="shared" si="2"/>
        <v>3</v>
      </c>
      <c r="S37" s="26">
        <f t="shared" si="3"/>
        <v>2</v>
      </c>
      <c r="T37" s="26">
        <f t="shared" si="4"/>
        <v>1</v>
      </c>
      <c r="U37" s="46">
        <f>IF('AAA Summary'!$L$35=4, RANK(H37,H$8:H$82,1)+COUNTIF($H$8:H37,H37)-1, IF('AAA Summary'!$L$35=3, RANK(G37,G$8:G$82,1)+COUNTIF($G$8:G37,G37)-1, IF('AAA Summary'!$L$35=2, RANK(F37,F$8:F$82,1)+COUNTIF($F$8:F37,F37)-1, IF('AAA Summary'!$L$35=1, RANK(E37,E$8:E$82,1)+COUNTIF($E$8:E37,E37)-1))))</f>
        <v>26</v>
      </c>
      <c r="V37" s="34">
        <f>IF('AAA Summary'!$L$35=4, H37, IF('AAA Summary'!$L$35=3, G37, IF('AAA Summary'!$L$35=2, F37, IF('AAA Summary'!$L$35=1, E37))))</f>
        <v>0.9</v>
      </c>
      <c r="W37" s="11">
        <f t="shared" si="7"/>
        <v>9.7999999999999954</v>
      </c>
      <c r="X37" s="11">
        <f t="shared" si="8"/>
        <v>12.399999999999999</v>
      </c>
      <c r="Y37" s="11">
        <v>80</v>
      </c>
      <c r="Z37" s="11">
        <v>128</v>
      </c>
      <c r="AA37" s="11">
        <v>57</v>
      </c>
      <c r="AB37" s="11">
        <v>186</v>
      </c>
      <c r="AC37" s="11">
        <f t="shared" si="10"/>
        <v>71</v>
      </c>
      <c r="AD37" s="11">
        <f t="shared" si="9"/>
        <v>58</v>
      </c>
      <c r="AE37" s="11">
        <v>56</v>
      </c>
      <c r="AF37">
        <v>72</v>
      </c>
      <c r="AG37" s="46" t="b">
        <f>IF('AAA Summary'!$L$4=2, J37, IF('AAA Summary'!$L$4=1, Z37))</f>
        <v>0</v>
      </c>
      <c r="AH37" s="46" t="b">
        <f>IF('AAA Summary'!$L$4=2, W37, IF('AAA Summary'!$L$4=1, AC37))</f>
        <v>0</v>
      </c>
      <c r="AI37" s="46" t="b">
        <f>IF('AAA Summary'!$L$4=2, X37, IF('AAA Summary'!$L$4=1, AD37))</f>
        <v>0</v>
      </c>
      <c r="AJ37" s="46" t="b">
        <f>IF('AAA Summary'!$L$4=2, Y37, IF('AAA Summary'!$L$4=1, AE37))</f>
        <v>0</v>
      </c>
      <c r="AK37" s="8">
        <v>0.23799999999999999</v>
      </c>
    </row>
    <row r="38" spans="1:37" x14ac:dyDescent="0.25">
      <c r="A38" t="s">
        <v>12</v>
      </c>
      <c r="B38" t="s">
        <v>358</v>
      </c>
      <c r="C38" s="50">
        <v>20</v>
      </c>
      <c r="D38" s="50">
        <v>17</v>
      </c>
      <c r="E38" s="51">
        <v>0.85</v>
      </c>
      <c r="F38" s="51">
        <v>0.9</v>
      </c>
      <c r="G38" s="51">
        <v>0.82</v>
      </c>
      <c r="H38" s="51">
        <v>0.8</v>
      </c>
      <c r="I38" s="27" t="s">
        <v>417</v>
      </c>
      <c r="J38">
        <v>58.8</v>
      </c>
      <c r="K38">
        <v>32.9</v>
      </c>
      <c r="L38">
        <v>81.599999999999994</v>
      </c>
      <c r="M38" s="27" t="s">
        <v>276</v>
      </c>
      <c r="N38" s="27" t="s">
        <v>220</v>
      </c>
      <c r="O38" s="52">
        <v>1.2E-2</v>
      </c>
      <c r="P38" s="27" t="str">
        <f t="shared" si="6"/>
        <v>R1K</v>
      </c>
      <c r="Q38" s="26">
        <f t="shared" si="1"/>
        <v>1</v>
      </c>
      <c r="R38" s="26">
        <f t="shared" si="2"/>
        <v>1</v>
      </c>
      <c r="S38" s="26">
        <f t="shared" si="3"/>
        <v>1</v>
      </c>
      <c r="T38" s="26">
        <f t="shared" si="4"/>
        <v>2</v>
      </c>
      <c r="U38" s="46">
        <f>IF('AAA Summary'!$L$35=4, RANK(H38,H$8:H$82,1)+COUNTIF($H$8:H38,H38)-1, IF('AAA Summary'!$L$35=3, RANK(G38,G$8:G$82,1)+COUNTIF($G$8:G38,G38)-1, IF('AAA Summary'!$L$35=2, RANK(F38,F$8:F$82,1)+COUNTIF($F$8:F38,F38)-1, IF('AAA Summary'!$L$35=1, RANK(E38,E$8:E$82,1)+COUNTIF($E$8:E38,E38)-1))))</f>
        <v>14</v>
      </c>
      <c r="V38" s="34">
        <f>IF('AAA Summary'!$L$35=4, H38, IF('AAA Summary'!$L$35=3, G38, IF('AAA Summary'!$L$35=2, F38, IF('AAA Summary'!$L$35=1, E38))))</f>
        <v>0.85</v>
      </c>
      <c r="W38" s="11">
        <f t="shared" si="7"/>
        <v>25.9</v>
      </c>
      <c r="X38" s="11">
        <f t="shared" si="8"/>
        <v>22.799999999999997</v>
      </c>
      <c r="Y38" s="11">
        <v>80</v>
      </c>
      <c r="Z38" s="11">
        <v>46</v>
      </c>
      <c r="AA38" s="11">
        <v>32</v>
      </c>
      <c r="AB38" s="11">
        <v>102</v>
      </c>
      <c r="AC38" s="11">
        <f t="shared" si="10"/>
        <v>14</v>
      </c>
      <c r="AD38" s="11">
        <f t="shared" si="9"/>
        <v>56</v>
      </c>
      <c r="AE38" s="11">
        <v>56</v>
      </c>
      <c r="AF38">
        <v>10</v>
      </c>
      <c r="AG38" s="46" t="b">
        <f>IF('AAA Summary'!$L$4=2, J38, IF('AAA Summary'!$L$4=1, Z38))</f>
        <v>0</v>
      </c>
      <c r="AH38" s="46" t="b">
        <f>IF('AAA Summary'!$L$4=2, W38, IF('AAA Summary'!$L$4=1, AC38))</f>
        <v>0</v>
      </c>
      <c r="AI38" s="46" t="b">
        <f>IF('AAA Summary'!$L$4=2, X38, IF('AAA Summary'!$L$4=1, AD38))</f>
        <v>0</v>
      </c>
      <c r="AJ38" s="46" t="b">
        <f>IF('AAA Summary'!$L$4=2, Y38, IF('AAA Summary'!$L$4=1, AE38))</f>
        <v>0</v>
      </c>
      <c r="AK38" s="8">
        <v>0.58799999999999997</v>
      </c>
    </row>
    <row r="39" spans="1:37" x14ac:dyDescent="0.25">
      <c r="A39" t="s">
        <v>8</v>
      </c>
      <c r="B39" t="s">
        <v>9</v>
      </c>
      <c r="C39" s="50">
        <v>79</v>
      </c>
      <c r="D39" s="50">
        <v>42</v>
      </c>
      <c r="E39" s="51">
        <v>0.96</v>
      </c>
      <c r="F39" s="51">
        <v>1</v>
      </c>
      <c r="G39" s="51">
        <v>0.97</v>
      </c>
      <c r="H39" s="51">
        <v>0.91</v>
      </c>
      <c r="I39" s="27" t="s">
        <v>418</v>
      </c>
      <c r="J39">
        <v>32.9</v>
      </c>
      <c r="K39">
        <v>22.5</v>
      </c>
      <c r="L39">
        <v>44.6</v>
      </c>
      <c r="M39" s="27" t="s">
        <v>239</v>
      </c>
      <c r="N39" s="27" t="s">
        <v>189</v>
      </c>
      <c r="O39" s="52">
        <v>6.9999999999999993E-3</v>
      </c>
      <c r="P39" s="27" t="str">
        <f t="shared" si="6"/>
        <v>R0A</v>
      </c>
      <c r="Q39" s="26">
        <f t="shared" si="1"/>
        <v>3</v>
      </c>
      <c r="R39" s="26">
        <f t="shared" si="2"/>
        <v>4</v>
      </c>
      <c r="S39" s="26">
        <f t="shared" si="3"/>
        <v>3</v>
      </c>
      <c r="T39" s="26">
        <f t="shared" si="4"/>
        <v>3</v>
      </c>
      <c r="U39" s="46">
        <f>IF('AAA Summary'!$L$35=4, RANK(H39,H$8:H$82,1)+COUNTIF($H$8:H39,H39)-1, IF('AAA Summary'!$L$35=3, RANK(G39,G$8:G$82,1)+COUNTIF($G$8:G39,G39)-1, IF('AAA Summary'!$L$35=2, RANK(F39,F$8:F$82,1)+COUNTIF($F$8:F39,F39)-1, IF('AAA Summary'!$L$35=1, RANK(E39,E$8:E$82,1)+COUNTIF($E$8:E39,E39)-1))))</f>
        <v>48</v>
      </c>
      <c r="V39" s="34">
        <f>IF('AAA Summary'!$L$35=4, H39, IF('AAA Summary'!$L$35=3, G39, IF('AAA Summary'!$L$35=2, F39, IF('AAA Summary'!$L$35=1, E39))))</f>
        <v>0.96</v>
      </c>
      <c r="W39" s="11">
        <f t="shared" si="7"/>
        <v>10.399999999999999</v>
      </c>
      <c r="X39" s="11">
        <f t="shared" si="8"/>
        <v>11.700000000000003</v>
      </c>
      <c r="Y39" s="11">
        <v>80</v>
      </c>
      <c r="Z39" s="11">
        <v>80</v>
      </c>
      <c r="AA39" s="11">
        <v>42</v>
      </c>
      <c r="AB39" s="11">
        <v>124</v>
      </c>
      <c r="AC39" s="11">
        <f t="shared" si="10"/>
        <v>38</v>
      </c>
      <c r="AD39" s="11">
        <f t="shared" si="9"/>
        <v>44</v>
      </c>
      <c r="AE39" s="11">
        <v>56</v>
      </c>
      <c r="AF39">
        <v>53</v>
      </c>
      <c r="AG39" s="46" t="b">
        <f>IF('AAA Summary'!$L$4=2, J39, IF('AAA Summary'!$L$4=1, Z39))</f>
        <v>0</v>
      </c>
      <c r="AH39" s="46" t="b">
        <f>IF('AAA Summary'!$L$4=2, W39, IF('AAA Summary'!$L$4=1, AC39))</f>
        <v>0</v>
      </c>
      <c r="AI39" s="46" t="b">
        <f>IF('AAA Summary'!$L$4=2, X39, IF('AAA Summary'!$L$4=1, AD39))</f>
        <v>0</v>
      </c>
      <c r="AJ39" s="46" t="b">
        <f>IF('AAA Summary'!$L$4=2, Y39, IF('AAA Summary'!$L$4=1, AE39))</f>
        <v>0</v>
      </c>
      <c r="AK39" s="8">
        <v>0.32900000000000001</v>
      </c>
    </row>
    <row r="40" spans="1:37" x14ac:dyDescent="0.25">
      <c r="A40" t="s">
        <v>75</v>
      </c>
      <c r="B40" t="s">
        <v>76</v>
      </c>
      <c r="C40" s="50">
        <v>21</v>
      </c>
      <c r="D40" s="50">
        <v>17</v>
      </c>
      <c r="E40" s="51">
        <v>1</v>
      </c>
      <c r="F40" s="51">
        <v>1</v>
      </c>
      <c r="G40" s="51">
        <v>1</v>
      </c>
      <c r="H40" s="51">
        <v>1</v>
      </c>
      <c r="I40" s="27" t="s">
        <v>419</v>
      </c>
      <c r="J40">
        <v>4.8</v>
      </c>
      <c r="K40">
        <v>0.1</v>
      </c>
      <c r="L40">
        <v>23.799999999999997</v>
      </c>
      <c r="M40" s="27" t="s">
        <v>276</v>
      </c>
      <c r="N40" s="27" t="s">
        <v>237</v>
      </c>
      <c r="O40" s="52">
        <v>1.6E-2</v>
      </c>
      <c r="P40" s="27" t="str">
        <f t="shared" si="6"/>
        <v>RPA</v>
      </c>
      <c r="Q40" s="26">
        <f t="shared" ref="Q40:Q71" si="11">+IF(E40&lt;E$2,1,IF(E40&lt;E$3,2,IF(E40&lt;E$4,3,4)))</f>
        <v>4</v>
      </c>
      <c r="R40" s="26">
        <f t="shared" ref="R40:R71" si="12">+IF(F40&lt;F$2,1,IF(F40&lt;F$3,2,IF(F40&lt;F$4,3,4)))</f>
        <v>4</v>
      </c>
      <c r="S40" s="26">
        <f t="shared" ref="S40:S71" si="13">+IF(G40&lt;G$2,1,IF(G40&lt;G$3,2,IF(G40&lt;G$4,3,4)))</f>
        <v>4</v>
      </c>
      <c r="T40" s="26">
        <f t="shared" si="4"/>
        <v>4</v>
      </c>
      <c r="U40" s="46">
        <f>IF('AAA Summary'!$L$35=4, RANK(H40,H$8:H$82,1)+COUNTIF($H$8:H40,H40)-1, IF('AAA Summary'!$L$35=3, RANK(G40,G$8:G$82,1)+COUNTIF($G$8:G40,G40)-1, IF('AAA Summary'!$L$35=2, RANK(F40,F$8:F$82,1)+COUNTIF($F$8:F40,F40)-1, IF('AAA Summary'!$L$35=1, RANK(E40,E$8:E$82,1)+COUNTIF($E$8:E40,E40)-1))))</f>
        <v>66</v>
      </c>
      <c r="V40" s="34">
        <f>IF('AAA Summary'!$L$35=4, H40, IF('AAA Summary'!$L$35=3, G40, IF('AAA Summary'!$L$35=2, F40, IF('AAA Summary'!$L$35=1, E40))))</f>
        <v>1</v>
      </c>
      <c r="W40" s="11">
        <f t="shared" si="7"/>
        <v>4.7</v>
      </c>
      <c r="X40" s="11">
        <f t="shared" si="8"/>
        <v>18.999999999999996</v>
      </c>
      <c r="Y40" s="11">
        <v>80</v>
      </c>
      <c r="Z40" s="11">
        <v>103</v>
      </c>
      <c r="AA40" s="11">
        <v>83</v>
      </c>
      <c r="AB40" s="11">
        <v>167</v>
      </c>
      <c r="AC40" s="11">
        <f t="shared" si="10"/>
        <v>20</v>
      </c>
      <c r="AD40" s="11">
        <f t="shared" si="9"/>
        <v>64</v>
      </c>
      <c r="AE40" s="11">
        <v>56</v>
      </c>
      <c r="AF40">
        <v>67</v>
      </c>
      <c r="AG40" s="46" t="b">
        <f>IF('AAA Summary'!$L$4=2, J40, IF('AAA Summary'!$L$4=1, Z40))</f>
        <v>0</v>
      </c>
      <c r="AH40" s="46" t="b">
        <f>IF('AAA Summary'!$L$4=2, W40, IF('AAA Summary'!$L$4=1, AC40))</f>
        <v>0</v>
      </c>
      <c r="AI40" s="46" t="b">
        <f>IF('AAA Summary'!$L$4=2, X40, IF('AAA Summary'!$L$4=1, AD40))</f>
        <v>0</v>
      </c>
      <c r="AJ40" s="46" t="b">
        <f>IF('AAA Summary'!$L$4=2, Y40, IF('AAA Summary'!$L$4=1, AE40))</f>
        <v>0</v>
      </c>
      <c r="AK40" s="8">
        <v>4.8000000000000001E-2</v>
      </c>
    </row>
    <row r="41" spans="1:37" x14ac:dyDescent="0.25">
      <c r="A41" t="s">
        <v>77</v>
      </c>
      <c r="B41" t="s">
        <v>78</v>
      </c>
      <c r="C41" s="50">
        <v>27</v>
      </c>
      <c r="D41" s="50">
        <v>19</v>
      </c>
      <c r="E41" s="51">
        <v>0.96</v>
      </c>
      <c r="F41" s="51">
        <v>0.96</v>
      </c>
      <c r="G41" s="51">
        <v>0.96</v>
      </c>
      <c r="H41" s="51">
        <v>0.96</v>
      </c>
      <c r="I41" s="27" t="s">
        <v>420</v>
      </c>
      <c r="J41">
        <v>53.800000000000004</v>
      </c>
      <c r="K41">
        <v>33.4</v>
      </c>
      <c r="L41">
        <v>73.400000000000006</v>
      </c>
      <c r="M41" s="27" t="s">
        <v>205</v>
      </c>
      <c r="N41" s="27" t="s">
        <v>252</v>
      </c>
      <c r="O41" s="52">
        <v>0.03</v>
      </c>
      <c r="P41" s="27" t="str">
        <f t="shared" si="6"/>
        <v>RQ8</v>
      </c>
      <c r="Q41" s="26">
        <f t="shared" si="11"/>
        <v>3</v>
      </c>
      <c r="R41" s="26">
        <f t="shared" si="12"/>
        <v>1</v>
      </c>
      <c r="S41" s="26">
        <f t="shared" si="13"/>
        <v>3</v>
      </c>
      <c r="T41" s="26">
        <f t="shared" si="4"/>
        <v>4</v>
      </c>
      <c r="U41" s="46">
        <f>IF('AAA Summary'!$L$35=4, RANK(H41,H$8:H$82,1)+COUNTIF($H$8:H41,H41)-1, IF('AAA Summary'!$L$35=3, RANK(G41,G$8:G$82,1)+COUNTIF($G$8:G41,G41)-1, IF('AAA Summary'!$L$35=2, RANK(F41,F$8:F$82,1)+COUNTIF($F$8:F41,F41)-1, IF('AAA Summary'!$L$35=1, RANK(E41,E$8:E$82,1)+COUNTIF($E$8:E41,E41)-1))))</f>
        <v>49</v>
      </c>
      <c r="V41" s="34">
        <f>IF('AAA Summary'!$L$35=4, H41, IF('AAA Summary'!$L$35=3, G41, IF('AAA Summary'!$L$35=2, F41, IF('AAA Summary'!$L$35=1, E41))))</f>
        <v>0.96</v>
      </c>
      <c r="W41" s="11">
        <f t="shared" si="7"/>
        <v>20.400000000000006</v>
      </c>
      <c r="X41" s="11">
        <f t="shared" si="8"/>
        <v>19.600000000000001</v>
      </c>
      <c r="Y41" s="11">
        <v>80</v>
      </c>
      <c r="Z41" s="11">
        <v>51</v>
      </c>
      <c r="AA41" s="11">
        <v>30</v>
      </c>
      <c r="AB41" s="11">
        <v>91</v>
      </c>
      <c r="AC41" s="11">
        <f t="shared" si="10"/>
        <v>21</v>
      </c>
      <c r="AD41" s="11">
        <f t="shared" si="9"/>
        <v>40</v>
      </c>
      <c r="AE41" s="11">
        <v>56</v>
      </c>
      <c r="AF41">
        <v>17</v>
      </c>
      <c r="AG41" s="46" t="b">
        <f>IF('AAA Summary'!$L$4=2, J41, IF('AAA Summary'!$L$4=1, Z41))</f>
        <v>0</v>
      </c>
      <c r="AH41" s="46" t="b">
        <f>IF('AAA Summary'!$L$4=2, W41, IF('AAA Summary'!$L$4=1, AC41))</f>
        <v>0</v>
      </c>
      <c r="AI41" s="46" t="b">
        <f>IF('AAA Summary'!$L$4=2, X41, IF('AAA Summary'!$L$4=1, AD41))</f>
        <v>0</v>
      </c>
      <c r="AJ41" s="46" t="b">
        <f>IF('AAA Summary'!$L$4=2, Y41, IF('AAA Summary'!$L$4=1, AE41))</f>
        <v>0</v>
      </c>
      <c r="AK41" s="8">
        <v>0.53800000000000003</v>
      </c>
    </row>
    <row r="42" spans="1:37" x14ac:dyDescent="0.25">
      <c r="A42" t="s">
        <v>91</v>
      </c>
      <c r="B42" t="s">
        <v>92</v>
      </c>
      <c r="C42" s="50">
        <v>81</v>
      </c>
      <c r="D42" s="50">
        <v>32</v>
      </c>
      <c r="E42" s="51">
        <v>0.85</v>
      </c>
      <c r="F42" s="51">
        <v>0.17</v>
      </c>
      <c r="G42" s="51">
        <v>0.93</v>
      </c>
      <c r="H42" s="51">
        <v>0.89</v>
      </c>
      <c r="I42" s="27" t="s">
        <v>421</v>
      </c>
      <c r="J42">
        <v>49.3</v>
      </c>
      <c r="K42">
        <v>37</v>
      </c>
      <c r="L42">
        <v>61.6</v>
      </c>
      <c r="M42" s="27" t="s">
        <v>182</v>
      </c>
      <c r="N42" s="27" t="s">
        <v>180</v>
      </c>
      <c r="O42" s="52">
        <v>3.1E-2</v>
      </c>
      <c r="P42" s="27" t="str">
        <f t="shared" si="6"/>
        <v>RTD</v>
      </c>
      <c r="Q42" s="26">
        <f t="shared" si="11"/>
        <v>1</v>
      </c>
      <c r="R42" s="26">
        <f t="shared" si="12"/>
        <v>1</v>
      </c>
      <c r="S42" s="26">
        <f t="shared" si="13"/>
        <v>2</v>
      </c>
      <c r="T42" s="26">
        <f t="shared" si="4"/>
        <v>2</v>
      </c>
      <c r="U42" s="46">
        <f>IF('AAA Summary'!$L$35=4, RANK(H42,H$8:H$82,1)+COUNTIF($H$8:H42,H42)-1, IF('AAA Summary'!$L$35=3, RANK(G42,G$8:G$82,1)+COUNTIF($G$8:G42,G42)-1, IF('AAA Summary'!$L$35=2, RANK(F42,F$8:F$82,1)+COUNTIF($F$8:F42,F42)-1, IF('AAA Summary'!$L$35=1, RANK(E42,E$8:E$82,1)+COUNTIF($E$8:E42,E42)-1))))</f>
        <v>15</v>
      </c>
      <c r="V42" s="34">
        <f>IF('AAA Summary'!$L$35=4, H42, IF('AAA Summary'!$L$35=3, G42, IF('AAA Summary'!$L$35=2, F42, IF('AAA Summary'!$L$35=1, E42))))</f>
        <v>0.85</v>
      </c>
      <c r="W42" s="11">
        <f t="shared" si="7"/>
        <v>12.299999999999997</v>
      </c>
      <c r="X42" s="11">
        <f t="shared" si="8"/>
        <v>12.300000000000004</v>
      </c>
      <c r="Y42" s="11">
        <v>80</v>
      </c>
      <c r="Z42" s="11">
        <v>60</v>
      </c>
      <c r="AA42" s="11">
        <v>32</v>
      </c>
      <c r="AB42" s="11">
        <v>91</v>
      </c>
      <c r="AC42" s="11">
        <f t="shared" si="10"/>
        <v>28</v>
      </c>
      <c r="AD42" s="11">
        <f t="shared" si="9"/>
        <v>31</v>
      </c>
      <c r="AE42" s="11">
        <v>56</v>
      </c>
      <c r="AF42">
        <v>27</v>
      </c>
      <c r="AG42" s="46" t="b">
        <f>IF('AAA Summary'!$L$4=2, J42, IF('AAA Summary'!$L$4=1, Z42))</f>
        <v>0</v>
      </c>
      <c r="AH42" s="46" t="b">
        <f>IF('AAA Summary'!$L$4=2, W42, IF('AAA Summary'!$L$4=1, AC42))</f>
        <v>0</v>
      </c>
      <c r="AI42" s="46" t="b">
        <f>IF('AAA Summary'!$L$4=2, X42, IF('AAA Summary'!$L$4=1, AD42))</f>
        <v>0</v>
      </c>
      <c r="AJ42" s="46" t="b">
        <f>IF('AAA Summary'!$L$4=2, Y42, IF('AAA Summary'!$L$4=1, AE42))</f>
        <v>0</v>
      </c>
      <c r="AK42" s="8">
        <v>0.49299999999999999</v>
      </c>
    </row>
    <row r="43" spans="1:37" x14ac:dyDescent="0.25">
      <c r="A43" t="s">
        <v>131</v>
      </c>
      <c r="B43" t="s">
        <v>132</v>
      </c>
      <c r="C43" s="50">
        <v>3</v>
      </c>
      <c r="D43" s="50">
        <v>0</v>
      </c>
      <c r="E43" s="51">
        <v>1</v>
      </c>
      <c r="F43" s="51">
        <v>0.67</v>
      </c>
      <c r="G43" s="51">
        <v>1</v>
      </c>
      <c r="H43" s="51">
        <v>0.67</v>
      </c>
      <c r="I43" s="27" t="s">
        <v>276</v>
      </c>
      <c r="J43" t="e">
        <v>#VALUE!</v>
      </c>
      <c r="K43" t="e">
        <v>#N/A</v>
      </c>
      <c r="L43" t="e">
        <v>#N/A</v>
      </c>
      <c r="M43" s="27" t="s">
        <v>276</v>
      </c>
      <c r="N43" s="27" t="s">
        <v>276</v>
      </c>
      <c r="O43" s="52">
        <v>0</v>
      </c>
      <c r="P43" s="27" t="str">
        <f t="shared" si="6"/>
        <v>SA999</v>
      </c>
      <c r="Q43" s="26">
        <f t="shared" si="11"/>
        <v>4</v>
      </c>
      <c r="R43" s="26">
        <f t="shared" si="12"/>
        <v>1</v>
      </c>
      <c r="S43" s="26">
        <f t="shared" si="13"/>
        <v>4</v>
      </c>
      <c r="T43" s="26">
        <f t="shared" si="4"/>
        <v>1</v>
      </c>
      <c r="U43" s="46">
        <f>IF('AAA Summary'!$L$35=4, RANK(H43,H$8:H$82,1)+COUNTIF($H$8:H43,H43)-1, IF('AAA Summary'!$L$35=3, RANK(G43,G$8:G$82,1)+COUNTIF($G$8:G43,G43)-1, IF('AAA Summary'!$L$35=2, RANK(F43,F$8:F$82,1)+COUNTIF($F$8:F43,F43)-1, IF('AAA Summary'!$L$35=1, RANK(E43,E$8:E$82,1)+COUNTIF($E$8:E43,E43)-1))))</f>
        <v>67</v>
      </c>
      <c r="V43" s="34">
        <f>IF('AAA Summary'!$L$35=4, H43, IF('AAA Summary'!$L$35=3, G43, IF('AAA Summary'!$L$35=2, F43, IF('AAA Summary'!$L$35=1, E43))))</f>
        <v>1</v>
      </c>
      <c r="W43" s="11" t="e">
        <f t="shared" si="7"/>
        <v>#VALUE!</v>
      </c>
      <c r="X43" s="11" t="e">
        <f t="shared" si="8"/>
        <v>#N/A</v>
      </c>
      <c r="Y43" s="11">
        <v>80</v>
      </c>
      <c r="Z43" s="11" t="s">
        <v>276</v>
      </c>
      <c r="AA43" s="11" t="e">
        <v>#VALUE!</v>
      </c>
      <c r="AB43" s="11" t="e">
        <v>#VALUE!</v>
      </c>
      <c r="AC43" s="11" t="e">
        <f t="shared" si="10"/>
        <v>#VALUE!</v>
      </c>
      <c r="AD43" s="11" t="e">
        <f t="shared" si="9"/>
        <v>#VALUE!</v>
      </c>
      <c r="AE43" s="11">
        <v>56</v>
      </c>
      <c r="AF43">
        <v>74</v>
      </c>
      <c r="AG43" s="46" t="b">
        <f>IF('AAA Summary'!$L$4=2, J43, IF('AAA Summary'!$L$4=1, Z43))</f>
        <v>0</v>
      </c>
      <c r="AH43" s="46" t="b">
        <f>IF('AAA Summary'!$L$4=2, W43, IF('AAA Summary'!$L$4=1, AC43))</f>
        <v>0</v>
      </c>
      <c r="AI43" s="46" t="b">
        <f>IF('AAA Summary'!$L$4=2, X43, IF('AAA Summary'!$L$4=1, AD43))</f>
        <v>0</v>
      </c>
      <c r="AJ43" s="46" t="b">
        <f>IF('AAA Summary'!$L$4=2, Y43, IF('AAA Summary'!$L$4=1, AE43))</f>
        <v>0</v>
      </c>
      <c r="AK43" s="8" t="s">
        <v>284</v>
      </c>
    </row>
    <row r="44" spans="1:37" x14ac:dyDescent="0.25">
      <c r="A44" t="s">
        <v>139</v>
      </c>
      <c r="B44" t="s">
        <v>140</v>
      </c>
      <c r="C44" s="50">
        <v>10</v>
      </c>
      <c r="D44" s="50">
        <v>4</v>
      </c>
      <c r="E44" s="51">
        <v>0.9</v>
      </c>
      <c r="F44" s="51">
        <v>1</v>
      </c>
      <c r="G44" s="51">
        <v>0.89</v>
      </c>
      <c r="H44" s="51">
        <v>0.6</v>
      </c>
      <c r="I44" s="27" t="s">
        <v>276</v>
      </c>
      <c r="J44" t="e">
        <v>#VALUE!</v>
      </c>
      <c r="K44" t="e">
        <v>#N/A</v>
      </c>
      <c r="L44" t="e">
        <v>#N/A</v>
      </c>
      <c r="M44" s="27" t="s">
        <v>276</v>
      </c>
      <c r="N44" s="27" t="s">
        <v>276</v>
      </c>
      <c r="O44" s="52">
        <v>0</v>
      </c>
      <c r="P44" s="27" t="str">
        <f t="shared" si="6"/>
        <v>SN999</v>
      </c>
      <c r="Q44" s="26">
        <f t="shared" si="11"/>
        <v>2</v>
      </c>
      <c r="R44" s="26">
        <f t="shared" si="12"/>
        <v>4</v>
      </c>
      <c r="S44" s="26">
        <f t="shared" si="13"/>
        <v>2</v>
      </c>
      <c r="T44" s="26">
        <f t="shared" si="4"/>
        <v>1</v>
      </c>
      <c r="U44" s="46">
        <f>IF('AAA Summary'!$L$35=4, RANK(H44,H$8:H$82,1)+COUNTIF($H$8:H44,H44)-1, IF('AAA Summary'!$L$35=3, RANK(G44,G$8:G$82,1)+COUNTIF($G$8:G44,G44)-1, IF('AAA Summary'!$L$35=2, RANK(F44,F$8:F$82,1)+COUNTIF($F$8:F44,F44)-1, IF('AAA Summary'!$L$35=1, RANK(E44,E$8:E$82,1)+COUNTIF($E$8:E44,E44)-1))))</f>
        <v>27</v>
      </c>
      <c r="V44" s="34">
        <f>IF('AAA Summary'!$L$35=4, H44, IF('AAA Summary'!$L$35=3, G44, IF('AAA Summary'!$L$35=2, F44, IF('AAA Summary'!$L$35=1, E44))))</f>
        <v>0.9</v>
      </c>
      <c r="W44" s="11" t="e">
        <f t="shared" si="7"/>
        <v>#VALUE!</v>
      </c>
      <c r="X44" s="11" t="e">
        <f t="shared" si="8"/>
        <v>#N/A</v>
      </c>
      <c r="Y44" s="11">
        <v>80</v>
      </c>
      <c r="Z44" s="11" t="s">
        <v>276</v>
      </c>
      <c r="AA44" s="11" t="e">
        <v>#VALUE!</v>
      </c>
      <c r="AB44" s="11" t="e">
        <v>#VALUE!</v>
      </c>
      <c r="AC44" s="11" t="e">
        <f t="shared" si="10"/>
        <v>#VALUE!</v>
      </c>
      <c r="AD44" s="11" t="e">
        <f t="shared" si="9"/>
        <v>#VALUE!</v>
      </c>
      <c r="AE44" s="11">
        <v>56</v>
      </c>
      <c r="AF44">
        <v>75</v>
      </c>
      <c r="AG44" s="46" t="b">
        <f>IF('AAA Summary'!$L$4=2, J44, IF('AAA Summary'!$L$4=1, Z44))</f>
        <v>0</v>
      </c>
      <c r="AH44" s="46" t="b">
        <f>IF('AAA Summary'!$L$4=2, W44, IF('AAA Summary'!$L$4=1, AC44))</f>
        <v>0</v>
      </c>
      <c r="AI44" s="46" t="b">
        <f>IF('AAA Summary'!$L$4=2, X44, IF('AAA Summary'!$L$4=1, AD44))</f>
        <v>0</v>
      </c>
      <c r="AJ44" s="46" t="b">
        <f>IF('AAA Summary'!$L$4=2, Y44, IF('AAA Summary'!$L$4=1, AE44))</f>
        <v>0</v>
      </c>
      <c r="AK44" s="8" t="s">
        <v>284</v>
      </c>
    </row>
    <row r="45" spans="1:37" x14ac:dyDescent="0.25">
      <c r="A45" t="s">
        <v>133</v>
      </c>
      <c r="B45" t="s">
        <v>134</v>
      </c>
      <c r="C45" s="50">
        <v>65</v>
      </c>
      <c r="D45" s="50">
        <v>34</v>
      </c>
      <c r="E45" s="51">
        <v>0.98</v>
      </c>
      <c r="F45" s="51">
        <v>0.95</v>
      </c>
      <c r="G45" s="51">
        <v>0.98</v>
      </c>
      <c r="H45" s="51">
        <v>0.89</v>
      </c>
      <c r="I45" s="27" t="s">
        <v>422</v>
      </c>
      <c r="J45">
        <v>57.8</v>
      </c>
      <c r="K45">
        <v>44.800000000000004</v>
      </c>
      <c r="L45">
        <v>70.099999999999994</v>
      </c>
      <c r="M45" s="27" t="s">
        <v>332</v>
      </c>
      <c r="N45" s="27" t="s">
        <v>235</v>
      </c>
      <c r="O45" s="52">
        <v>0.03</v>
      </c>
      <c r="P45" s="27" t="str">
        <f t="shared" si="6"/>
        <v>SG999</v>
      </c>
      <c r="Q45" s="26">
        <f t="shared" si="11"/>
        <v>4</v>
      </c>
      <c r="R45" s="26">
        <f t="shared" si="12"/>
        <v>1</v>
      </c>
      <c r="S45" s="26">
        <f t="shared" si="13"/>
        <v>3</v>
      </c>
      <c r="T45" s="26">
        <f t="shared" si="4"/>
        <v>2</v>
      </c>
      <c r="U45" s="46">
        <f>IF('AAA Summary'!$L$35=4, RANK(H45,H$8:H$82,1)+COUNTIF($H$8:H45,H45)-1, IF('AAA Summary'!$L$35=3, RANK(G45,G$8:G$82,1)+COUNTIF($G$8:G45,G45)-1, IF('AAA Summary'!$L$35=2, RANK(F45,F$8:F$82,1)+COUNTIF($F$8:F45,F45)-1, IF('AAA Summary'!$L$35=1, RANK(E45,E$8:E$82,1)+COUNTIF($E$8:E45,E45)-1))))</f>
        <v>57</v>
      </c>
      <c r="V45" s="34">
        <f>IF('AAA Summary'!$L$35=4, H45, IF('AAA Summary'!$L$35=3, G45, IF('AAA Summary'!$L$35=2, F45, IF('AAA Summary'!$L$35=1, E45))))</f>
        <v>0.98</v>
      </c>
      <c r="W45" s="11">
        <f t="shared" si="7"/>
        <v>12.999999999999993</v>
      </c>
      <c r="X45" s="11">
        <f t="shared" si="8"/>
        <v>12.299999999999997</v>
      </c>
      <c r="Y45" s="11">
        <v>80</v>
      </c>
      <c r="Z45" s="11">
        <v>51</v>
      </c>
      <c r="AA45" s="11">
        <v>27</v>
      </c>
      <c r="AB45" s="11">
        <v>76</v>
      </c>
      <c r="AC45" s="11">
        <f t="shared" si="10"/>
        <v>24</v>
      </c>
      <c r="AD45" s="11">
        <f t="shared" si="9"/>
        <v>25</v>
      </c>
      <c r="AE45" s="11">
        <v>56</v>
      </c>
      <c r="AF45">
        <v>16</v>
      </c>
      <c r="AG45" s="46" t="b">
        <f>IF('AAA Summary'!$L$4=2, J45, IF('AAA Summary'!$L$4=1, Z45))</f>
        <v>0</v>
      </c>
      <c r="AH45" s="46" t="b">
        <f>IF('AAA Summary'!$L$4=2, W45, IF('AAA Summary'!$L$4=1, AC45))</f>
        <v>0</v>
      </c>
      <c r="AI45" s="46" t="b">
        <f>IF('AAA Summary'!$L$4=2, X45, IF('AAA Summary'!$L$4=1, AD45))</f>
        <v>0</v>
      </c>
      <c r="AJ45" s="46" t="b">
        <f>IF('AAA Summary'!$L$4=2, Y45, IF('AAA Summary'!$L$4=1, AE45))</f>
        <v>0</v>
      </c>
      <c r="AK45" s="8">
        <v>0.57799999999999996</v>
      </c>
    </row>
    <row r="46" spans="1:37" x14ac:dyDescent="0.25">
      <c r="A46" t="s">
        <v>135</v>
      </c>
      <c r="B46" t="s">
        <v>136</v>
      </c>
      <c r="C46" s="50">
        <v>18</v>
      </c>
      <c r="D46" s="50">
        <v>9</v>
      </c>
      <c r="E46" s="51">
        <v>0.94</v>
      </c>
      <c r="F46" s="51">
        <v>1</v>
      </c>
      <c r="G46" s="51">
        <v>0.93</v>
      </c>
      <c r="H46" s="51">
        <v>1</v>
      </c>
      <c r="I46" s="27" t="s">
        <v>423</v>
      </c>
      <c r="J46">
        <v>35.299999999999997</v>
      </c>
      <c r="K46">
        <v>14.2</v>
      </c>
      <c r="L46">
        <v>61.7</v>
      </c>
      <c r="M46" s="27" t="s">
        <v>339</v>
      </c>
      <c r="N46" s="27" t="s">
        <v>241</v>
      </c>
      <c r="O46" s="52">
        <v>0</v>
      </c>
      <c r="P46" s="27" t="str">
        <f t="shared" si="6"/>
        <v>SH999</v>
      </c>
      <c r="Q46" s="26">
        <f t="shared" si="11"/>
        <v>3</v>
      </c>
      <c r="R46" s="26">
        <f t="shared" si="12"/>
        <v>4</v>
      </c>
      <c r="S46" s="26">
        <f t="shared" si="13"/>
        <v>2</v>
      </c>
      <c r="T46" s="26">
        <f t="shared" si="4"/>
        <v>4</v>
      </c>
      <c r="U46" s="46">
        <f>IF('AAA Summary'!$L$35=4, RANK(H46,H$8:H$82,1)+COUNTIF($H$8:H46,H46)-1, IF('AAA Summary'!$L$35=3, RANK(G46,G$8:G$82,1)+COUNTIF($G$8:G46,G46)-1, IF('AAA Summary'!$L$35=2, RANK(F46,F$8:F$82,1)+COUNTIF($F$8:F46,F46)-1, IF('AAA Summary'!$L$35=1, RANK(E46,E$8:E$82,1)+COUNTIF($E$8:E46,E46)-1))))</f>
        <v>36</v>
      </c>
      <c r="V46" s="34">
        <f>IF('AAA Summary'!$L$35=4, H46, IF('AAA Summary'!$L$35=3, G46, IF('AAA Summary'!$L$35=2, F46, IF('AAA Summary'!$L$35=1, E46))))</f>
        <v>0.94</v>
      </c>
      <c r="W46" s="11">
        <f t="shared" si="7"/>
        <v>21.099999999999998</v>
      </c>
      <c r="X46" s="11">
        <f t="shared" si="8"/>
        <v>26.400000000000006</v>
      </c>
      <c r="Y46" s="11">
        <v>80</v>
      </c>
      <c r="Z46" s="11">
        <v>64</v>
      </c>
      <c r="AA46" s="11">
        <v>44</v>
      </c>
      <c r="AB46" s="11">
        <v>96</v>
      </c>
      <c r="AC46" s="11">
        <f t="shared" si="10"/>
        <v>20</v>
      </c>
      <c r="AD46" s="11">
        <f t="shared" si="9"/>
        <v>32</v>
      </c>
      <c r="AE46" s="11">
        <v>56</v>
      </c>
      <c r="AF46">
        <v>35</v>
      </c>
      <c r="AG46" s="46" t="b">
        <f>IF('AAA Summary'!$L$4=2, J46, IF('AAA Summary'!$L$4=1, Z46))</f>
        <v>0</v>
      </c>
      <c r="AH46" s="46" t="b">
        <f>IF('AAA Summary'!$L$4=2, W46, IF('AAA Summary'!$L$4=1, AC46))</f>
        <v>0</v>
      </c>
      <c r="AI46" s="46" t="b">
        <f>IF('AAA Summary'!$L$4=2, X46, IF('AAA Summary'!$L$4=1, AD46))</f>
        <v>0</v>
      </c>
      <c r="AJ46" s="46" t="b">
        <f>IF('AAA Summary'!$L$4=2, Y46, IF('AAA Summary'!$L$4=1, AE46))</f>
        <v>0</v>
      </c>
      <c r="AK46" s="8">
        <v>0.35299999999999998</v>
      </c>
    </row>
    <row r="47" spans="1:37" x14ac:dyDescent="0.25">
      <c r="A47" t="s">
        <v>137</v>
      </c>
      <c r="B47" t="s">
        <v>138</v>
      </c>
      <c r="C47" s="50">
        <v>46</v>
      </c>
      <c r="D47" s="50">
        <v>36</v>
      </c>
      <c r="E47" s="51">
        <v>0.87</v>
      </c>
      <c r="F47" s="51">
        <v>1</v>
      </c>
      <c r="G47" s="51">
        <v>0.88</v>
      </c>
      <c r="H47" s="51">
        <v>0.85</v>
      </c>
      <c r="I47" s="27" t="s">
        <v>424</v>
      </c>
      <c r="J47">
        <v>52.5</v>
      </c>
      <c r="K47">
        <v>36.1</v>
      </c>
      <c r="L47">
        <v>68.5</v>
      </c>
      <c r="M47" s="27" t="s">
        <v>330</v>
      </c>
      <c r="N47" s="27" t="s">
        <v>189</v>
      </c>
      <c r="O47" s="52">
        <v>1.3999999999999999E-2</v>
      </c>
      <c r="P47" s="27" t="str">
        <f t="shared" si="6"/>
        <v>SL999</v>
      </c>
      <c r="Q47" s="26">
        <f t="shared" si="11"/>
        <v>1</v>
      </c>
      <c r="R47" s="26">
        <f t="shared" si="12"/>
        <v>4</v>
      </c>
      <c r="S47" s="26">
        <f t="shared" si="13"/>
        <v>1</v>
      </c>
      <c r="T47" s="26">
        <f t="shared" si="4"/>
        <v>2</v>
      </c>
      <c r="U47" s="46">
        <f>IF('AAA Summary'!$L$35=4, RANK(H47,H$8:H$82,1)+COUNTIF($H$8:H47,H47)-1, IF('AAA Summary'!$L$35=3, RANK(G47,G$8:G$82,1)+COUNTIF($G$8:G47,G47)-1, IF('AAA Summary'!$L$35=2, RANK(F47,F$8:F$82,1)+COUNTIF($F$8:F47,F47)-1, IF('AAA Summary'!$L$35=1, RANK(E47,E$8:E$82,1)+COUNTIF($E$8:E47,E47)-1))))</f>
        <v>18</v>
      </c>
      <c r="V47" s="34">
        <f>IF('AAA Summary'!$L$35=4, H47, IF('AAA Summary'!$L$35=3, G47, IF('AAA Summary'!$L$35=2, F47, IF('AAA Summary'!$L$35=1, E47))))</f>
        <v>0.87</v>
      </c>
      <c r="W47" s="11">
        <f t="shared" si="7"/>
        <v>16.399999999999999</v>
      </c>
      <c r="X47" s="11">
        <f t="shared" si="8"/>
        <v>16</v>
      </c>
      <c r="Y47" s="11">
        <v>80</v>
      </c>
      <c r="Z47" s="11">
        <v>55</v>
      </c>
      <c r="AA47" s="11">
        <v>33</v>
      </c>
      <c r="AB47" s="11">
        <v>102</v>
      </c>
      <c r="AC47" s="11">
        <f t="shared" si="10"/>
        <v>22</v>
      </c>
      <c r="AD47" s="11">
        <f t="shared" si="9"/>
        <v>47</v>
      </c>
      <c r="AE47" s="11">
        <v>56</v>
      </c>
      <c r="AF47">
        <v>21</v>
      </c>
      <c r="AG47" s="46" t="b">
        <f>IF('AAA Summary'!$L$4=2, J47, IF('AAA Summary'!$L$4=1, Z47))</f>
        <v>0</v>
      </c>
      <c r="AH47" s="46" t="b">
        <f>IF('AAA Summary'!$L$4=2, W47, IF('AAA Summary'!$L$4=1, AC47))</f>
        <v>0</v>
      </c>
      <c r="AI47" s="46" t="b">
        <f>IF('AAA Summary'!$L$4=2, X47, IF('AAA Summary'!$L$4=1, AD47))</f>
        <v>0</v>
      </c>
      <c r="AJ47" s="46" t="b">
        <f>IF('AAA Summary'!$L$4=2, Y47, IF('AAA Summary'!$L$4=1, AE47))</f>
        <v>0</v>
      </c>
      <c r="AK47" s="8">
        <v>0.52500000000000002</v>
      </c>
    </row>
    <row r="48" spans="1:37" x14ac:dyDescent="0.25">
      <c r="A48" t="s">
        <v>141</v>
      </c>
      <c r="B48" t="s">
        <v>142</v>
      </c>
      <c r="C48" s="50">
        <v>41</v>
      </c>
      <c r="D48" s="50">
        <v>11</v>
      </c>
      <c r="E48" s="51">
        <v>1</v>
      </c>
      <c r="F48" s="51">
        <v>1</v>
      </c>
      <c r="G48" s="51">
        <v>1</v>
      </c>
      <c r="H48" s="51">
        <v>1</v>
      </c>
      <c r="I48" s="27" t="s">
        <v>425</v>
      </c>
      <c r="J48">
        <v>51.2</v>
      </c>
      <c r="K48">
        <v>35.099999999999994</v>
      </c>
      <c r="L48">
        <v>67.100000000000009</v>
      </c>
      <c r="M48" s="27" t="s">
        <v>262</v>
      </c>
      <c r="N48" s="27" t="s">
        <v>193</v>
      </c>
      <c r="O48" s="52">
        <v>6.9999999999999993E-3</v>
      </c>
      <c r="P48" s="27" t="str">
        <f t="shared" si="6"/>
        <v>SS999</v>
      </c>
      <c r="Q48" s="26">
        <f t="shared" si="11"/>
        <v>4</v>
      </c>
      <c r="R48" s="26">
        <f t="shared" si="12"/>
        <v>4</v>
      </c>
      <c r="S48" s="26">
        <f t="shared" si="13"/>
        <v>4</v>
      </c>
      <c r="T48" s="26">
        <f t="shared" si="4"/>
        <v>4</v>
      </c>
      <c r="U48" s="46">
        <f>IF('AAA Summary'!$L$35=4, RANK(H48,H$8:H$82,1)+COUNTIF($H$8:H48,H48)-1, IF('AAA Summary'!$L$35=3, RANK(G48,G$8:G$82,1)+COUNTIF($G$8:G48,G48)-1, IF('AAA Summary'!$L$35=2, RANK(F48,F$8:F$82,1)+COUNTIF($F$8:F48,F48)-1, IF('AAA Summary'!$L$35=1, RANK(E48,E$8:E$82,1)+COUNTIF($E$8:E48,E48)-1))))</f>
        <v>68</v>
      </c>
      <c r="V48" s="34">
        <f>IF('AAA Summary'!$L$35=4, H48, IF('AAA Summary'!$L$35=3, G48, IF('AAA Summary'!$L$35=2, F48, IF('AAA Summary'!$L$35=1, E48))))</f>
        <v>1</v>
      </c>
      <c r="W48" s="11">
        <f t="shared" si="7"/>
        <v>16.100000000000009</v>
      </c>
      <c r="X48" s="11">
        <f t="shared" si="8"/>
        <v>15.900000000000006</v>
      </c>
      <c r="Y48" s="11">
        <v>80</v>
      </c>
      <c r="Z48" s="11">
        <v>56</v>
      </c>
      <c r="AA48" s="11">
        <v>28</v>
      </c>
      <c r="AB48" s="11">
        <v>76</v>
      </c>
      <c r="AC48" s="11">
        <f t="shared" si="10"/>
        <v>28</v>
      </c>
      <c r="AD48" s="11">
        <f t="shared" si="9"/>
        <v>20</v>
      </c>
      <c r="AE48" s="11">
        <v>56</v>
      </c>
      <c r="AF48">
        <v>22</v>
      </c>
      <c r="AG48" s="46" t="b">
        <f>IF('AAA Summary'!$L$4=2, J48, IF('AAA Summary'!$L$4=1, Z48))</f>
        <v>0</v>
      </c>
      <c r="AH48" s="46" t="b">
        <f>IF('AAA Summary'!$L$4=2, W48, IF('AAA Summary'!$L$4=1, AC48))</f>
        <v>0</v>
      </c>
      <c r="AI48" s="46" t="b">
        <f>IF('AAA Summary'!$L$4=2, X48, IF('AAA Summary'!$L$4=1, AD48))</f>
        <v>0</v>
      </c>
      <c r="AJ48" s="46" t="b">
        <f>IF('AAA Summary'!$L$4=2, Y48, IF('AAA Summary'!$L$4=1, AE48))</f>
        <v>0</v>
      </c>
      <c r="AK48" s="8">
        <v>0.51200000000000001</v>
      </c>
    </row>
    <row r="49" spans="1:37" x14ac:dyDescent="0.25">
      <c r="A49" t="s">
        <v>143</v>
      </c>
      <c r="B49" t="s">
        <v>144</v>
      </c>
      <c r="C49" s="50">
        <v>14</v>
      </c>
      <c r="D49" s="50">
        <v>6</v>
      </c>
      <c r="E49" s="51">
        <v>0.43</v>
      </c>
      <c r="F49" s="51">
        <v>1</v>
      </c>
      <c r="G49" s="51">
        <v>0.38</v>
      </c>
      <c r="H49" s="51">
        <v>0.43</v>
      </c>
      <c r="I49" s="27" t="s">
        <v>426</v>
      </c>
      <c r="J49" t="e">
        <v>#VALUE!</v>
      </c>
      <c r="K49" t="e">
        <v>#N/A</v>
      </c>
      <c r="L49" t="e">
        <v>#N/A</v>
      </c>
      <c r="M49" s="27" t="s">
        <v>427</v>
      </c>
      <c r="N49" s="27" t="s">
        <v>236</v>
      </c>
      <c r="O49" s="52">
        <v>0</v>
      </c>
      <c r="P49" s="27" t="str">
        <f t="shared" si="6"/>
        <v>ST999</v>
      </c>
      <c r="Q49" s="26">
        <f t="shared" si="11"/>
        <v>1</v>
      </c>
      <c r="R49" s="26">
        <f t="shared" si="12"/>
        <v>4</v>
      </c>
      <c r="S49" s="26">
        <f t="shared" si="13"/>
        <v>1</v>
      </c>
      <c r="T49" s="26">
        <f t="shared" si="4"/>
        <v>1</v>
      </c>
      <c r="U49" s="46">
        <f>IF('AAA Summary'!$L$35=4, RANK(H49,H$8:H$82,1)+COUNTIF($H$8:H49,H49)-1, IF('AAA Summary'!$L$35=3, RANK(G49,G$8:G$82,1)+COUNTIF($G$8:G49,G49)-1, IF('AAA Summary'!$L$35=2, RANK(F49,F$8:F$82,1)+COUNTIF($F$8:F49,F49)-1, IF('AAA Summary'!$L$35=1, RANK(E49,E$8:E$82,1)+COUNTIF($E$8:E49,E49)-1))))</f>
        <v>3</v>
      </c>
      <c r="V49" s="34">
        <f>IF('AAA Summary'!$L$35=4, H49, IF('AAA Summary'!$L$35=3, G49, IF('AAA Summary'!$L$35=2, F49, IF('AAA Summary'!$L$35=1, E49))))</f>
        <v>0.43</v>
      </c>
      <c r="W49" s="11" t="e">
        <f t="shared" si="7"/>
        <v>#VALUE!</v>
      </c>
      <c r="X49" s="11" t="e">
        <f t="shared" si="8"/>
        <v>#N/A</v>
      </c>
      <c r="Y49" s="11">
        <v>80</v>
      </c>
      <c r="Z49" s="11">
        <v>65</v>
      </c>
      <c r="AA49" s="11">
        <v>52</v>
      </c>
      <c r="AB49" s="11">
        <v>141</v>
      </c>
      <c r="AC49" s="11">
        <f t="shared" si="10"/>
        <v>13</v>
      </c>
      <c r="AD49" s="11">
        <f t="shared" si="9"/>
        <v>76</v>
      </c>
      <c r="AE49" s="11">
        <v>56</v>
      </c>
      <c r="AF49">
        <v>36</v>
      </c>
      <c r="AG49" s="46" t="b">
        <f>IF('AAA Summary'!$L$4=2, J49, IF('AAA Summary'!$L$4=1, Z49))</f>
        <v>0</v>
      </c>
      <c r="AH49" s="46" t="b">
        <f>IF('AAA Summary'!$L$4=2, W49, IF('AAA Summary'!$L$4=1, AC49))</f>
        <v>0</v>
      </c>
      <c r="AI49" s="46" t="b">
        <f>IF('AAA Summary'!$L$4=2, X49, IF('AAA Summary'!$L$4=1, AD49))</f>
        <v>0</v>
      </c>
      <c r="AJ49" s="46" t="b">
        <f>IF('AAA Summary'!$L$4=2, Y49, IF('AAA Summary'!$L$4=1, AE49))</f>
        <v>0</v>
      </c>
      <c r="AK49" s="8" t="s">
        <v>284</v>
      </c>
    </row>
    <row r="50" spans="1:37" x14ac:dyDescent="0.25">
      <c r="A50" t="s">
        <v>65</v>
      </c>
      <c r="B50" t="s">
        <v>66</v>
      </c>
      <c r="C50" s="50">
        <v>76</v>
      </c>
      <c r="D50" s="50">
        <v>34</v>
      </c>
      <c r="E50" s="51">
        <v>0.95</v>
      </c>
      <c r="F50" s="51">
        <v>0.97</v>
      </c>
      <c r="G50" s="51">
        <v>0.95</v>
      </c>
      <c r="H50" s="51">
        <v>0.88</v>
      </c>
      <c r="I50" s="27" t="s">
        <v>428</v>
      </c>
      <c r="J50">
        <v>51.4</v>
      </c>
      <c r="K50">
        <v>39.300000000000004</v>
      </c>
      <c r="L50">
        <v>63.3</v>
      </c>
      <c r="M50" s="27" t="s">
        <v>334</v>
      </c>
      <c r="N50" s="27" t="s">
        <v>235</v>
      </c>
      <c r="O50" s="52">
        <v>2.5000000000000001E-2</v>
      </c>
      <c r="P50" s="27" t="str">
        <f t="shared" si="6"/>
        <v>RM1</v>
      </c>
      <c r="Q50" s="26">
        <f t="shared" si="11"/>
        <v>3</v>
      </c>
      <c r="R50" s="26">
        <f t="shared" si="12"/>
        <v>2</v>
      </c>
      <c r="S50" s="26">
        <f t="shared" si="13"/>
        <v>3</v>
      </c>
      <c r="T50" s="26">
        <f t="shared" si="4"/>
        <v>2</v>
      </c>
      <c r="U50" s="46">
        <f>IF('AAA Summary'!$L$35=4, RANK(H50,H$8:H$82,1)+COUNTIF($H$8:H50,H50)-1, IF('AAA Summary'!$L$35=3, RANK(G50,G$8:G$82,1)+COUNTIF($G$8:G50,G50)-1, IF('AAA Summary'!$L$35=2, RANK(F50,F$8:F$82,1)+COUNTIF($F$8:F50,F50)-1, IF('AAA Summary'!$L$35=1, RANK(E50,E$8:E$82,1)+COUNTIF($E$8:E50,E50)-1))))</f>
        <v>41</v>
      </c>
      <c r="V50" s="34">
        <f>IF('AAA Summary'!$L$35=4, H50, IF('AAA Summary'!$L$35=3, G50, IF('AAA Summary'!$L$35=2, F50, IF('AAA Summary'!$L$35=1, E50))))</f>
        <v>0.95</v>
      </c>
      <c r="W50" s="11">
        <f t="shared" si="7"/>
        <v>12.099999999999994</v>
      </c>
      <c r="X50" s="11">
        <f t="shared" si="8"/>
        <v>11.899999999999999</v>
      </c>
      <c r="Y50" s="11">
        <v>80</v>
      </c>
      <c r="Z50" s="11">
        <v>52</v>
      </c>
      <c r="AA50" s="11">
        <v>30</v>
      </c>
      <c r="AB50" s="11">
        <v>91</v>
      </c>
      <c r="AC50" s="11">
        <f t="shared" si="10"/>
        <v>22</v>
      </c>
      <c r="AD50" s="11">
        <f t="shared" si="9"/>
        <v>39</v>
      </c>
      <c r="AE50" s="11">
        <v>56</v>
      </c>
      <c r="AF50">
        <v>18</v>
      </c>
      <c r="AG50" s="46" t="b">
        <f>IF('AAA Summary'!$L$4=2, J50, IF('AAA Summary'!$L$4=1, Z50))</f>
        <v>0</v>
      </c>
      <c r="AH50" s="46" t="b">
        <f>IF('AAA Summary'!$L$4=2, W50, IF('AAA Summary'!$L$4=1, AC50))</f>
        <v>0</v>
      </c>
      <c r="AI50" s="46" t="b">
        <f>IF('AAA Summary'!$L$4=2, X50, IF('AAA Summary'!$L$4=1, AD50))</f>
        <v>0</v>
      </c>
      <c r="AJ50" s="46" t="b">
        <f>IF('AAA Summary'!$L$4=2, Y50, IF('AAA Summary'!$L$4=1, AE50))</f>
        <v>0</v>
      </c>
      <c r="AK50" s="8">
        <v>0.51400000000000001</v>
      </c>
    </row>
    <row r="51" spans="1:37" x14ac:dyDescent="0.25">
      <c r="A51" t="s">
        <v>100</v>
      </c>
      <c r="B51" t="s">
        <v>101</v>
      </c>
      <c r="C51" s="50">
        <v>48</v>
      </c>
      <c r="D51" s="50">
        <v>26</v>
      </c>
      <c r="E51" s="51">
        <v>0.9</v>
      </c>
      <c r="F51" s="51">
        <v>0.98</v>
      </c>
      <c r="G51" s="51">
        <v>0.93</v>
      </c>
      <c r="H51" s="51">
        <v>0.9</v>
      </c>
      <c r="I51" s="27" t="s">
        <v>429</v>
      </c>
      <c r="J51">
        <v>69.8</v>
      </c>
      <c r="K51">
        <v>53.900000000000006</v>
      </c>
      <c r="L51">
        <v>82.8</v>
      </c>
      <c r="M51" s="27" t="s">
        <v>205</v>
      </c>
      <c r="N51" s="27" t="s">
        <v>237</v>
      </c>
      <c r="O51" s="52">
        <v>3.5000000000000003E-2</v>
      </c>
      <c r="P51" s="27" t="str">
        <f t="shared" si="6"/>
        <v>RVJ</v>
      </c>
      <c r="Q51" s="26">
        <f t="shared" si="11"/>
        <v>2</v>
      </c>
      <c r="R51" s="26">
        <f t="shared" si="12"/>
        <v>2</v>
      </c>
      <c r="S51" s="26">
        <f t="shared" si="13"/>
        <v>2</v>
      </c>
      <c r="T51" s="26">
        <f t="shared" si="4"/>
        <v>3</v>
      </c>
      <c r="U51" s="46">
        <f>IF('AAA Summary'!$L$35=4, RANK(H51,H$8:H$82,1)+COUNTIF($H$8:H51,H51)-1, IF('AAA Summary'!$L$35=3, RANK(G51,G$8:G$82,1)+COUNTIF($G$8:G51,G51)-1, IF('AAA Summary'!$L$35=2, RANK(F51,F$8:F$82,1)+COUNTIF($F$8:F51,F51)-1, IF('AAA Summary'!$L$35=1, RANK(E51,E$8:E$82,1)+COUNTIF($E$8:E51,E51)-1))))</f>
        <v>28</v>
      </c>
      <c r="V51" s="34">
        <f>IF('AAA Summary'!$L$35=4, H51, IF('AAA Summary'!$L$35=3, G51, IF('AAA Summary'!$L$35=2, F51, IF('AAA Summary'!$L$35=1, E51))))</f>
        <v>0.9</v>
      </c>
      <c r="W51" s="11">
        <f t="shared" si="7"/>
        <v>15.899999999999991</v>
      </c>
      <c r="X51" s="11">
        <f t="shared" si="8"/>
        <v>13</v>
      </c>
      <c r="Y51" s="11">
        <v>80</v>
      </c>
      <c r="Z51" s="11">
        <v>39</v>
      </c>
      <c r="AA51" s="11">
        <v>24</v>
      </c>
      <c r="AB51" s="11">
        <v>61</v>
      </c>
      <c r="AC51" s="11">
        <f t="shared" si="10"/>
        <v>15</v>
      </c>
      <c r="AD51" s="11">
        <f t="shared" si="9"/>
        <v>22</v>
      </c>
      <c r="AE51" s="11">
        <v>56</v>
      </c>
      <c r="AF51">
        <v>3</v>
      </c>
      <c r="AG51" s="46" t="b">
        <f>IF('AAA Summary'!$L$4=2, J51, IF('AAA Summary'!$L$4=1, Z51))</f>
        <v>0</v>
      </c>
      <c r="AH51" s="46" t="b">
        <f>IF('AAA Summary'!$L$4=2, W51, IF('AAA Summary'!$L$4=1, AC51))</f>
        <v>0</v>
      </c>
      <c r="AI51" s="46" t="b">
        <f>IF('AAA Summary'!$L$4=2, X51, IF('AAA Summary'!$L$4=1, AD51))</f>
        <v>0</v>
      </c>
      <c r="AJ51" s="46" t="b">
        <f>IF('AAA Summary'!$L$4=2, Y51, IF('AAA Summary'!$L$4=1, AE51))</f>
        <v>0</v>
      </c>
      <c r="AK51" s="8">
        <v>0.69799999999999995</v>
      </c>
    </row>
    <row r="52" spans="1:37" x14ac:dyDescent="0.25">
      <c r="A52" s="7" t="s">
        <v>626</v>
      </c>
      <c r="B52" t="s">
        <v>518</v>
      </c>
      <c r="C52" s="50">
        <v>25</v>
      </c>
      <c r="D52" s="50">
        <v>17</v>
      </c>
      <c r="E52" s="51">
        <v>0.92</v>
      </c>
      <c r="F52" s="51">
        <v>1</v>
      </c>
      <c r="G52" s="51">
        <v>0.95</v>
      </c>
      <c r="H52" s="51">
        <v>0.92</v>
      </c>
      <c r="I52" s="27" t="s">
        <v>430</v>
      </c>
      <c r="J52">
        <v>43.5</v>
      </c>
      <c r="K52">
        <v>23.200000000000003</v>
      </c>
      <c r="L52">
        <v>65.5</v>
      </c>
      <c r="M52" s="27" t="s">
        <v>431</v>
      </c>
      <c r="N52" s="27" t="s">
        <v>183</v>
      </c>
      <c r="O52" s="52">
        <v>3.6000000000000004E-2</v>
      </c>
      <c r="P52" s="27" t="str">
        <f t="shared" si="6"/>
        <v>RNN</v>
      </c>
      <c r="Q52" s="26">
        <f t="shared" si="11"/>
        <v>2</v>
      </c>
      <c r="R52" s="26">
        <f t="shared" si="12"/>
        <v>4</v>
      </c>
      <c r="S52" s="26">
        <f t="shared" si="13"/>
        <v>3</v>
      </c>
      <c r="T52" s="26">
        <f t="shared" si="4"/>
        <v>3</v>
      </c>
      <c r="U52" s="46">
        <f>IF('AAA Summary'!$L$35=4, RANK(H52,H$8:H$82,1)+COUNTIF($H$8:H52,H52)-1, IF('AAA Summary'!$L$35=3, RANK(G52,G$8:G$82,1)+COUNTIF($G$8:G52,G52)-1, IF('AAA Summary'!$L$35=2, RANK(F52,F$8:F$82,1)+COUNTIF($F$8:F52,F52)-1, IF('AAA Summary'!$L$35=1, RANK(E52,E$8:E$82,1)+COUNTIF($E$8:E52,E52)-1))))</f>
        <v>29</v>
      </c>
      <c r="V52" s="34">
        <f>IF('AAA Summary'!$L$35=4, H52, IF('AAA Summary'!$L$35=3, G52, IF('AAA Summary'!$L$35=2, F52, IF('AAA Summary'!$L$35=1, E52))))</f>
        <v>0.92</v>
      </c>
      <c r="W52" s="11">
        <f t="shared" si="7"/>
        <v>20.299999999999997</v>
      </c>
      <c r="X52" s="11">
        <f t="shared" si="8"/>
        <v>22</v>
      </c>
      <c r="Y52" s="11">
        <v>80</v>
      </c>
      <c r="Z52" s="11">
        <v>74</v>
      </c>
      <c r="AA52" s="11">
        <v>28</v>
      </c>
      <c r="AB52" s="11">
        <v>99</v>
      </c>
      <c r="AC52" s="11">
        <f t="shared" si="10"/>
        <v>46</v>
      </c>
      <c r="AD52" s="11">
        <f t="shared" si="9"/>
        <v>25</v>
      </c>
      <c r="AE52" s="11">
        <v>56</v>
      </c>
      <c r="AF52">
        <v>44</v>
      </c>
      <c r="AG52" s="46" t="b">
        <f>IF('AAA Summary'!$L$4=2, J52, IF('AAA Summary'!$L$4=1, Z52))</f>
        <v>0</v>
      </c>
      <c r="AH52" s="46" t="b">
        <f>IF('AAA Summary'!$L$4=2, W52, IF('AAA Summary'!$L$4=1, AC52))</f>
        <v>0</v>
      </c>
      <c r="AI52" s="46" t="b">
        <f>IF('AAA Summary'!$L$4=2, X52, IF('AAA Summary'!$L$4=1, AD52))</f>
        <v>0</v>
      </c>
      <c r="AJ52" s="46" t="b">
        <f>IF('AAA Summary'!$L$4=2, Y52, IF('AAA Summary'!$L$4=1, AE52))</f>
        <v>0</v>
      </c>
      <c r="AK52" s="8">
        <v>0.435</v>
      </c>
    </row>
    <row r="53" spans="1:37" x14ac:dyDescent="0.25">
      <c r="A53" t="s">
        <v>72</v>
      </c>
      <c r="B53" t="s">
        <v>73</v>
      </c>
      <c r="C53" s="50">
        <v>37</v>
      </c>
      <c r="D53" s="50">
        <v>26</v>
      </c>
      <c r="E53" s="51">
        <v>0.97</v>
      </c>
      <c r="F53" s="51">
        <v>1</v>
      </c>
      <c r="G53" s="51">
        <v>0.97</v>
      </c>
      <c r="H53" s="51">
        <v>0.97</v>
      </c>
      <c r="I53" s="27" t="s">
        <v>432</v>
      </c>
      <c r="J53">
        <v>38.9</v>
      </c>
      <c r="K53">
        <v>23.1</v>
      </c>
      <c r="L53">
        <v>56.499999999999993</v>
      </c>
      <c r="M53" s="27" t="s">
        <v>433</v>
      </c>
      <c r="N53" s="27" t="s">
        <v>220</v>
      </c>
      <c r="O53" s="52">
        <v>2.5000000000000001E-2</v>
      </c>
      <c r="P53" s="27" t="str">
        <f t="shared" si="6"/>
        <v>RNS</v>
      </c>
      <c r="Q53" s="26">
        <f t="shared" si="11"/>
        <v>3</v>
      </c>
      <c r="R53" s="26">
        <f t="shared" si="12"/>
        <v>4</v>
      </c>
      <c r="S53" s="26">
        <f t="shared" si="13"/>
        <v>3</v>
      </c>
      <c r="T53" s="26">
        <f t="shared" si="4"/>
        <v>4</v>
      </c>
      <c r="U53" s="46">
        <f>IF('AAA Summary'!$L$35=4, RANK(H53,H$8:H$82,1)+COUNTIF($H$8:H53,H53)-1, IF('AAA Summary'!$L$35=3, RANK(G53,G$8:G$82,1)+COUNTIF($G$8:G53,G53)-1, IF('AAA Summary'!$L$35=2, RANK(F53,F$8:F$82,1)+COUNTIF($F$8:F53,F53)-1, IF('AAA Summary'!$L$35=1, RANK(E53,E$8:E$82,1)+COUNTIF($E$8:E53,E53)-1))))</f>
        <v>52</v>
      </c>
      <c r="V53" s="34">
        <f>IF('AAA Summary'!$L$35=4, H53, IF('AAA Summary'!$L$35=3, G53, IF('AAA Summary'!$L$35=2, F53, IF('AAA Summary'!$L$35=1, E53))))</f>
        <v>0.97</v>
      </c>
      <c r="W53" s="11">
        <f t="shared" si="7"/>
        <v>15.799999999999997</v>
      </c>
      <c r="X53" s="11">
        <f t="shared" si="8"/>
        <v>17.599999999999994</v>
      </c>
      <c r="Y53" s="11">
        <v>80</v>
      </c>
      <c r="Z53" s="11">
        <v>80</v>
      </c>
      <c r="AA53" s="11">
        <v>39</v>
      </c>
      <c r="AB53" s="11">
        <v>119</v>
      </c>
      <c r="AC53" s="11">
        <f t="shared" si="10"/>
        <v>41</v>
      </c>
      <c r="AD53" s="11">
        <f t="shared" si="9"/>
        <v>39</v>
      </c>
      <c r="AE53" s="11">
        <v>56</v>
      </c>
      <c r="AF53">
        <v>52</v>
      </c>
      <c r="AG53" s="46" t="b">
        <f>IF('AAA Summary'!$L$4=2, J53, IF('AAA Summary'!$L$4=1, Z53))</f>
        <v>0</v>
      </c>
      <c r="AH53" s="46" t="b">
        <f>IF('AAA Summary'!$L$4=2, W53, IF('AAA Summary'!$L$4=1, AC53))</f>
        <v>0</v>
      </c>
      <c r="AI53" s="46" t="b">
        <f>IF('AAA Summary'!$L$4=2, X53, IF('AAA Summary'!$L$4=1, AD53))</f>
        <v>0</v>
      </c>
      <c r="AJ53" s="46" t="b">
        <f>IF('AAA Summary'!$L$4=2, Y53, IF('AAA Summary'!$L$4=1, AE53))</f>
        <v>0</v>
      </c>
      <c r="AK53" s="8">
        <v>0.38900000000000001</v>
      </c>
    </row>
    <row r="54" spans="1:37" x14ac:dyDescent="0.25">
      <c r="A54" t="s">
        <v>119</v>
      </c>
      <c r="B54" t="s">
        <v>120</v>
      </c>
      <c r="C54" s="50">
        <v>56</v>
      </c>
      <c r="D54" s="50">
        <v>38</v>
      </c>
      <c r="E54" s="51">
        <v>0.79</v>
      </c>
      <c r="F54" s="51">
        <v>0.98</v>
      </c>
      <c r="G54" s="51">
        <v>0.88</v>
      </c>
      <c r="H54" s="51">
        <v>0.75</v>
      </c>
      <c r="I54" s="27" t="s">
        <v>434</v>
      </c>
      <c r="J54">
        <v>27.3</v>
      </c>
      <c r="K54">
        <v>15</v>
      </c>
      <c r="L54">
        <v>42.8</v>
      </c>
      <c r="M54" s="27" t="s">
        <v>251</v>
      </c>
      <c r="N54" s="27" t="s">
        <v>189</v>
      </c>
      <c r="O54" s="52">
        <v>1.2E-2</v>
      </c>
      <c r="P54" s="27" t="str">
        <f t="shared" si="6"/>
        <v>RX1</v>
      </c>
      <c r="Q54" s="26">
        <f t="shared" si="11"/>
        <v>1</v>
      </c>
      <c r="R54" s="26">
        <f t="shared" si="12"/>
        <v>2</v>
      </c>
      <c r="S54" s="26">
        <f t="shared" si="13"/>
        <v>1</v>
      </c>
      <c r="T54" s="26">
        <f t="shared" si="4"/>
        <v>1</v>
      </c>
      <c r="U54" s="46">
        <f>IF('AAA Summary'!$L$35=4, RANK(H54,H$8:H$82,1)+COUNTIF($H$8:H54,H54)-1, IF('AAA Summary'!$L$35=3, RANK(G54,G$8:G$82,1)+COUNTIF($G$8:G54,G54)-1, IF('AAA Summary'!$L$35=2, RANK(F54,F$8:F$82,1)+COUNTIF($F$8:F54,F54)-1, IF('AAA Summary'!$L$35=1, RANK(E54,E$8:E$82,1)+COUNTIF($E$8:E54,E54)-1))))</f>
        <v>12</v>
      </c>
      <c r="V54" s="34">
        <f>IF('AAA Summary'!$L$35=4, H54, IF('AAA Summary'!$L$35=3, G54, IF('AAA Summary'!$L$35=2, F54, IF('AAA Summary'!$L$35=1, E54))))</f>
        <v>0.79</v>
      </c>
      <c r="W54" s="11">
        <f t="shared" si="7"/>
        <v>12.3</v>
      </c>
      <c r="X54" s="11">
        <f t="shared" si="8"/>
        <v>15.499999999999996</v>
      </c>
      <c r="Y54" s="11">
        <v>80</v>
      </c>
      <c r="Z54" s="11">
        <v>85</v>
      </c>
      <c r="AA54" s="11">
        <v>53</v>
      </c>
      <c r="AB54" s="11">
        <v>132</v>
      </c>
      <c r="AC54" s="11">
        <f t="shared" si="10"/>
        <v>32</v>
      </c>
      <c r="AD54" s="11">
        <f t="shared" si="9"/>
        <v>47</v>
      </c>
      <c r="AE54" s="11">
        <v>56</v>
      </c>
      <c r="AF54">
        <v>59</v>
      </c>
      <c r="AG54" s="46" t="b">
        <f>IF('AAA Summary'!$L$4=2, J54, IF('AAA Summary'!$L$4=1, Z54))</f>
        <v>0</v>
      </c>
      <c r="AH54" s="46" t="b">
        <f>IF('AAA Summary'!$L$4=2, W54, IF('AAA Summary'!$L$4=1, AC54))</f>
        <v>0</v>
      </c>
      <c r="AI54" s="46" t="b">
        <f>IF('AAA Summary'!$L$4=2, X54, IF('AAA Summary'!$L$4=1, AD54))</f>
        <v>0</v>
      </c>
      <c r="AJ54" s="46" t="b">
        <f>IF('AAA Summary'!$L$4=2, Y54, IF('AAA Summary'!$L$4=1, AE54))</f>
        <v>0</v>
      </c>
      <c r="AK54" s="8">
        <v>0.27300000000000002</v>
      </c>
    </row>
    <row r="55" spans="1:37" x14ac:dyDescent="0.25">
      <c r="A55" t="s">
        <v>96</v>
      </c>
      <c r="B55" t="s">
        <v>360</v>
      </c>
      <c r="C55" s="50">
        <v>85</v>
      </c>
      <c r="D55" s="50">
        <v>41</v>
      </c>
      <c r="E55" s="51">
        <v>0.93</v>
      </c>
      <c r="F55" s="51">
        <v>0.99</v>
      </c>
      <c r="G55" s="51">
        <v>0.93</v>
      </c>
      <c r="H55" s="51">
        <v>0.91</v>
      </c>
      <c r="I55" s="27" t="s">
        <v>435</v>
      </c>
      <c r="J55">
        <v>29.099999999999998</v>
      </c>
      <c r="K55">
        <v>19.400000000000002</v>
      </c>
      <c r="L55">
        <v>40.400000000000006</v>
      </c>
      <c r="M55" s="27" t="s">
        <v>261</v>
      </c>
      <c r="N55" s="27" t="s">
        <v>237</v>
      </c>
      <c r="O55" s="52">
        <v>0</v>
      </c>
      <c r="P55" s="27" t="str">
        <f t="shared" si="6"/>
        <v>RTH</v>
      </c>
      <c r="Q55" s="26">
        <f t="shared" si="11"/>
        <v>2</v>
      </c>
      <c r="R55" s="26">
        <f t="shared" si="12"/>
        <v>3</v>
      </c>
      <c r="S55" s="26">
        <f t="shared" si="13"/>
        <v>2</v>
      </c>
      <c r="T55" s="26">
        <f t="shared" si="4"/>
        <v>3</v>
      </c>
      <c r="U55" s="46">
        <f>IF('AAA Summary'!$L$35=4, RANK(H55,H$8:H$82,1)+COUNTIF($H$8:H55,H55)-1, IF('AAA Summary'!$L$35=3, RANK(G55,G$8:G$82,1)+COUNTIF($G$8:G55,G55)-1, IF('AAA Summary'!$L$35=2, RANK(F55,F$8:F$82,1)+COUNTIF($F$8:F55,F55)-1, IF('AAA Summary'!$L$35=1, RANK(E55,E$8:E$82,1)+COUNTIF($E$8:E55,E55)-1))))</f>
        <v>32</v>
      </c>
      <c r="V55" s="34">
        <f>IF('AAA Summary'!$L$35=4, H55, IF('AAA Summary'!$L$35=3, G55, IF('AAA Summary'!$L$35=2, F55, IF('AAA Summary'!$L$35=1, E55))))</f>
        <v>0.93</v>
      </c>
      <c r="W55" s="11">
        <f t="shared" si="7"/>
        <v>9.6999999999999957</v>
      </c>
      <c r="X55" s="11">
        <f t="shared" si="8"/>
        <v>11.300000000000008</v>
      </c>
      <c r="Y55" s="11">
        <v>80</v>
      </c>
      <c r="Z55" s="11">
        <v>87</v>
      </c>
      <c r="AA55" s="11">
        <v>49</v>
      </c>
      <c r="AB55" s="11">
        <v>133</v>
      </c>
      <c r="AC55" s="11">
        <f t="shared" si="10"/>
        <v>38</v>
      </c>
      <c r="AD55" s="11">
        <f t="shared" si="9"/>
        <v>46</v>
      </c>
      <c r="AE55" s="11">
        <v>56</v>
      </c>
      <c r="AF55">
        <v>60</v>
      </c>
      <c r="AG55" s="46" t="b">
        <f>IF('AAA Summary'!$L$4=2, J55, IF('AAA Summary'!$L$4=1, Z55))</f>
        <v>0</v>
      </c>
      <c r="AH55" s="46" t="b">
        <f>IF('AAA Summary'!$L$4=2, W55, IF('AAA Summary'!$L$4=1, AC55))</f>
        <v>0</v>
      </c>
      <c r="AI55" s="46" t="b">
        <f>IF('AAA Summary'!$L$4=2, X55, IF('AAA Summary'!$L$4=1, AD55))</f>
        <v>0</v>
      </c>
      <c r="AJ55" s="46" t="b">
        <f>IF('AAA Summary'!$L$4=2, Y55, IF('AAA Summary'!$L$4=1, AE55))</f>
        <v>0</v>
      </c>
      <c r="AK55" s="8">
        <v>0.29099999999999998</v>
      </c>
    </row>
    <row r="56" spans="1:37" x14ac:dyDescent="0.25">
      <c r="A56" s="7" t="s">
        <v>622</v>
      </c>
      <c r="B56" s="95" t="s">
        <v>623</v>
      </c>
      <c r="C56" s="50">
        <v>53</v>
      </c>
      <c r="D56" s="50">
        <v>42</v>
      </c>
      <c r="E56" s="51">
        <v>0.98</v>
      </c>
      <c r="F56" s="51">
        <v>1</v>
      </c>
      <c r="G56" s="51">
        <v>0.98</v>
      </c>
      <c r="H56" s="51">
        <v>1</v>
      </c>
      <c r="I56" s="27" t="s">
        <v>436</v>
      </c>
      <c r="J56">
        <v>38.5</v>
      </c>
      <c r="K56">
        <v>25.3</v>
      </c>
      <c r="L56">
        <v>53</v>
      </c>
      <c r="M56" s="27" t="s">
        <v>277</v>
      </c>
      <c r="N56" s="27" t="s">
        <v>183</v>
      </c>
      <c r="O56" s="52">
        <v>1.2E-2</v>
      </c>
      <c r="P56" s="27" t="str">
        <f t="shared" si="6"/>
        <v>RM3</v>
      </c>
      <c r="Q56" s="26">
        <f t="shared" si="11"/>
        <v>4</v>
      </c>
      <c r="R56" s="26">
        <f t="shared" si="12"/>
        <v>4</v>
      </c>
      <c r="S56" s="26">
        <f t="shared" si="13"/>
        <v>3</v>
      </c>
      <c r="T56" s="26">
        <f t="shared" si="4"/>
        <v>4</v>
      </c>
      <c r="U56" s="46">
        <f>IF('AAA Summary'!$L$35=4, RANK(H56,H$8:H$82,1)+COUNTIF($H$8:H56,H56)-1, IF('AAA Summary'!$L$35=3, RANK(G56,G$8:G$82,1)+COUNTIF($G$8:G56,G56)-1, IF('AAA Summary'!$L$35=2, RANK(F56,F$8:F$82,1)+COUNTIF($F$8:F56,F56)-1, IF('AAA Summary'!$L$35=1, RANK(E56,E$8:E$82,1)+COUNTIF($E$8:E56,E56)-1))))</f>
        <v>58</v>
      </c>
      <c r="V56" s="34">
        <f>IF('AAA Summary'!$L$35=4, H56, IF('AAA Summary'!$L$35=3, G56, IF('AAA Summary'!$L$35=2, F56, IF('AAA Summary'!$L$35=1, E56))))</f>
        <v>0.98</v>
      </c>
      <c r="W56" s="11">
        <f t="shared" si="7"/>
        <v>13.2</v>
      </c>
      <c r="X56" s="11">
        <f t="shared" si="8"/>
        <v>14.5</v>
      </c>
      <c r="Y56" s="11">
        <v>80</v>
      </c>
      <c r="Z56" s="11">
        <v>75</v>
      </c>
      <c r="AA56" s="11">
        <v>42</v>
      </c>
      <c r="AB56" s="11">
        <v>126</v>
      </c>
      <c r="AC56" s="11">
        <f t="shared" si="10"/>
        <v>33</v>
      </c>
      <c r="AD56" s="11">
        <f t="shared" si="9"/>
        <v>51</v>
      </c>
      <c r="AE56" s="11">
        <v>56</v>
      </c>
      <c r="AF56">
        <v>46</v>
      </c>
      <c r="AG56" s="46" t="b">
        <f>IF('AAA Summary'!$L$4=2, J56, IF('AAA Summary'!$L$4=1, Z56))</f>
        <v>0</v>
      </c>
      <c r="AH56" s="46" t="b">
        <f>IF('AAA Summary'!$L$4=2, W56, IF('AAA Summary'!$L$4=1, AC56))</f>
        <v>0</v>
      </c>
      <c r="AI56" s="46" t="b">
        <f>IF('AAA Summary'!$L$4=2, X56, IF('AAA Summary'!$L$4=1, AD56))</f>
        <v>0</v>
      </c>
      <c r="AJ56" s="46" t="b">
        <f>IF('AAA Summary'!$L$4=2, Y56, IF('AAA Summary'!$L$4=1, AE56))</f>
        <v>0</v>
      </c>
      <c r="AK56" s="8">
        <v>0.38500000000000001</v>
      </c>
    </row>
    <row r="57" spans="1:37" x14ac:dyDescent="0.25">
      <c r="A57" t="s">
        <v>79</v>
      </c>
      <c r="B57" t="s">
        <v>80</v>
      </c>
      <c r="C57" s="50">
        <v>16</v>
      </c>
      <c r="D57" s="50">
        <v>11</v>
      </c>
      <c r="E57" s="51">
        <v>0.94</v>
      </c>
      <c r="F57" s="51">
        <v>1</v>
      </c>
      <c r="G57" s="51">
        <v>1</v>
      </c>
      <c r="H57" s="51">
        <v>0.81</v>
      </c>
      <c r="I57" s="27" t="s">
        <v>437</v>
      </c>
      <c r="J57">
        <v>33.300000000000004</v>
      </c>
      <c r="K57">
        <v>11.799999999999999</v>
      </c>
      <c r="L57">
        <v>61.6</v>
      </c>
      <c r="M57" s="27" t="s">
        <v>328</v>
      </c>
      <c r="N57" s="27" t="s">
        <v>220</v>
      </c>
      <c r="O57" s="52">
        <v>1.7000000000000001E-2</v>
      </c>
      <c r="P57" s="27" t="str">
        <f t="shared" si="6"/>
        <v>RQW</v>
      </c>
      <c r="Q57" s="26">
        <f t="shared" si="11"/>
        <v>3</v>
      </c>
      <c r="R57" s="26">
        <f t="shared" si="12"/>
        <v>4</v>
      </c>
      <c r="S57" s="26">
        <f t="shared" si="13"/>
        <v>4</v>
      </c>
      <c r="T57" s="26">
        <f t="shared" si="4"/>
        <v>2</v>
      </c>
      <c r="U57" s="46">
        <f>IF('AAA Summary'!$L$35=4, RANK(H57,H$8:H$82,1)+COUNTIF($H$8:H57,H57)-1, IF('AAA Summary'!$L$35=3, RANK(G57,G$8:G$82,1)+COUNTIF($G$8:G57,G57)-1, IF('AAA Summary'!$L$35=2, RANK(F57,F$8:F$82,1)+COUNTIF($F$8:F57,F57)-1, IF('AAA Summary'!$L$35=1, RANK(E57,E$8:E$82,1)+COUNTIF($E$8:E57,E57)-1))))</f>
        <v>37</v>
      </c>
      <c r="V57" s="34">
        <f>IF('AAA Summary'!$L$35=4, H57, IF('AAA Summary'!$L$35=3, G57, IF('AAA Summary'!$L$35=2, F57, IF('AAA Summary'!$L$35=1, E57))))</f>
        <v>0.94</v>
      </c>
      <c r="W57" s="11">
        <f t="shared" si="7"/>
        <v>21.500000000000007</v>
      </c>
      <c r="X57" s="11">
        <f t="shared" si="8"/>
        <v>28.299999999999997</v>
      </c>
      <c r="Y57" s="11">
        <v>80</v>
      </c>
      <c r="Z57" s="11">
        <v>91</v>
      </c>
      <c r="AA57" s="11">
        <v>51</v>
      </c>
      <c r="AB57" s="11">
        <v>121</v>
      </c>
      <c r="AC57" s="11">
        <f t="shared" si="10"/>
        <v>40</v>
      </c>
      <c r="AD57" s="11">
        <f t="shared" si="9"/>
        <v>30</v>
      </c>
      <c r="AE57" s="11">
        <v>56</v>
      </c>
      <c r="AF57">
        <v>64</v>
      </c>
      <c r="AG57" s="46" t="b">
        <f>IF('AAA Summary'!$L$4=2, J57, IF('AAA Summary'!$L$4=1, Z57))</f>
        <v>0</v>
      </c>
      <c r="AH57" s="46" t="b">
        <f>IF('AAA Summary'!$L$4=2, W57, IF('AAA Summary'!$L$4=1, AC57))</f>
        <v>0</v>
      </c>
      <c r="AI57" s="46" t="b">
        <f>IF('AAA Summary'!$L$4=2, X57, IF('AAA Summary'!$L$4=1, AD57))</f>
        <v>0</v>
      </c>
      <c r="AJ57" s="46" t="b">
        <f>IF('AAA Summary'!$L$4=2, Y57, IF('AAA Summary'!$L$4=1, AE57))</f>
        <v>0</v>
      </c>
      <c r="AK57" s="8">
        <v>0.33300000000000002</v>
      </c>
    </row>
    <row r="58" spans="1:37" x14ac:dyDescent="0.25">
      <c r="A58" s="7" t="s">
        <v>501</v>
      </c>
      <c r="B58" s="95" t="s">
        <v>502</v>
      </c>
      <c r="C58" s="50">
        <v>59</v>
      </c>
      <c r="D58" s="50">
        <v>29</v>
      </c>
      <c r="E58" s="51">
        <v>0.95</v>
      </c>
      <c r="F58" s="51">
        <v>0.98</v>
      </c>
      <c r="G58" s="51">
        <v>0.95</v>
      </c>
      <c r="H58" s="51">
        <v>0.95</v>
      </c>
      <c r="I58" s="27" t="s">
        <v>438</v>
      </c>
      <c r="J58">
        <v>26.8</v>
      </c>
      <c r="K58">
        <v>15.8</v>
      </c>
      <c r="L58">
        <v>40.300000000000004</v>
      </c>
      <c r="M58" s="27" t="s">
        <v>259</v>
      </c>
      <c r="N58" s="27" t="s">
        <v>237</v>
      </c>
      <c r="O58" s="52">
        <v>2.7999999999999997E-2</v>
      </c>
      <c r="P58" s="27" t="str">
        <f t="shared" si="6"/>
        <v>R0D</v>
      </c>
      <c r="Q58" s="26">
        <f t="shared" si="11"/>
        <v>3</v>
      </c>
      <c r="R58" s="26">
        <f t="shared" si="12"/>
        <v>2</v>
      </c>
      <c r="S58" s="26">
        <f t="shared" si="13"/>
        <v>3</v>
      </c>
      <c r="T58" s="26">
        <f t="shared" si="4"/>
        <v>3</v>
      </c>
      <c r="U58" s="46">
        <f>IF('AAA Summary'!$L$35=4, RANK(H58,H$8:H$82,1)+COUNTIF($H$8:H58,H58)-1, IF('AAA Summary'!$L$35=3, RANK(G58,G$8:G$82,1)+COUNTIF($G$8:G58,G58)-1, IF('AAA Summary'!$L$35=2, RANK(F58,F$8:F$82,1)+COUNTIF($F$8:F58,F58)-1, IF('AAA Summary'!$L$35=1, RANK(E58,E$8:E$82,1)+COUNTIF($E$8:E58,E58)-1))))</f>
        <v>42</v>
      </c>
      <c r="V58" s="34">
        <f>IF('AAA Summary'!$L$35=4, H58, IF('AAA Summary'!$L$35=3, G58, IF('AAA Summary'!$L$35=2, F58, IF('AAA Summary'!$L$35=1, E58))))</f>
        <v>0.95</v>
      </c>
      <c r="W58" s="11">
        <f t="shared" si="7"/>
        <v>11</v>
      </c>
      <c r="X58" s="11">
        <f t="shared" si="8"/>
        <v>13.500000000000004</v>
      </c>
      <c r="Y58" s="11">
        <v>80</v>
      </c>
      <c r="Z58" s="11">
        <v>80</v>
      </c>
      <c r="AA58" s="11">
        <v>52</v>
      </c>
      <c r="AB58" s="11">
        <v>113</v>
      </c>
      <c r="AC58" s="11">
        <f t="shared" si="10"/>
        <v>28</v>
      </c>
      <c r="AD58" s="11">
        <f t="shared" si="9"/>
        <v>33</v>
      </c>
      <c r="AE58" s="11">
        <v>56</v>
      </c>
      <c r="AF58">
        <v>55</v>
      </c>
      <c r="AG58" s="46" t="b">
        <f>IF('AAA Summary'!$L$4=2, J58, IF('AAA Summary'!$L$4=1, Z58))</f>
        <v>0</v>
      </c>
      <c r="AH58" s="46" t="b">
        <f>IF('AAA Summary'!$L$4=2, W58, IF('AAA Summary'!$L$4=1, AC58))</f>
        <v>0</v>
      </c>
      <c r="AI58" s="46" t="b">
        <f>IF('AAA Summary'!$L$4=2, X58, IF('AAA Summary'!$L$4=1, AD58))</f>
        <v>0</v>
      </c>
      <c r="AJ58" s="46" t="b">
        <f>IF('AAA Summary'!$L$4=2, Y58, IF('AAA Summary'!$L$4=1, AE58))</f>
        <v>0</v>
      </c>
      <c r="AK58" s="8">
        <v>0.26800000000000002</v>
      </c>
    </row>
    <row r="59" spans="1:37" x14ac:dyDescent="0.25">
      <c r="A59" t="s">
        <v>89</v>
      </c>
      <c r="B59" t="s">
        <v>90</v>
      </c>
      <c r="C59" s="50">
        <v>9</v>
      </c>
      <c r="D59" s="50">
        <v>4</v>
      </c>
      <c r="E59" s="51">
        <v>0.89</v>
      </c>
      <c r="F59" s="51">
        <v>1</v>
      </c>
      <c r="G59" s="51">
        <v>0.75</v>
      </c>
      <c r="H59" s="51">
        <v>1</v>
      </c>
      <c r="I59" s="27" t="s">
        <v>439</v>
      </c>
      <c r="J59" t="e">
        <v>#VALUE!</v>
      </c>
      <c r="K59" t="e">
        <v>#N/A</v>
      </c>
      <c r="L59" t="e">
        <v>#N/A</v>
      </c>
      <c r="M59" s="27" t="s">
        <v>269</v>
      </c>
      <c r="N59" s="27" t="s">
        <v>276</v>
      </c>
      <c r="O59" s="52">
        <v>0</v>
      </c>
      <c r="P59" s="27" t="str">
        <f t="shared" si="6"/>
        <v>RT3</v>
      </c>
      <c r="Q59" s="26">
        <f t="shared" si="11"/>
        <v>2</v>
      </c>
      <c r="R59" s="26">
        <f t="shared" si="12"/>
        <v>4</v>
      </c>
      <c r="S59" s="26">
        <f t="shared" si="13"/>
        <v>1</v>
      </c>
      <c r="T59" s="26">
        <f t="shared" si="4"/>
        <v>4</v>
      </c>
      <c r="U59" s="46">
        <f>IF('AAA Summary'!$L$35=4, RANK(H59,H$8:H$82,1)+COUNTIF($H$8:H59,H59)-1, IF('AAA Summary'!$L$35=3, RANK(G59,G$8:G$82,1)+COUNTIF($G$8:G59,G59)-1, IF('AAA Summary'!$L$35=2, RANK(F59,F$8:F$82,1)+COUNTIF($F$8:F59,F59)-1, IF('AAA Summary'!$L$35=1, RANK(E59,E$8:E$82,1)+COUNTIF($E$8:E59,E59)-1))))</f>
        <v>24</v>
      </c>
      <c r="V59" s="34">
        <f>IF('AAA Summary'!$L$35=4, H59, IF('AAA Summary'!$L$35=3, G59, IF('AAA Summary'!$L$35=2, F59, IF('AAA Summary'!$L$35=1, E59))))</f>
        <v>0.89</v>
      </c>
      <c r="W59" s="11" t="e">
        <f t="shared" si="7"/>
        <v>#VALUE!</v>
      </c>
      <c r="X59" s="11" t="e">
        <f t="shared" si="8"/>
        <v>#N/A</v>
      </c>
      <c r="Y59" s="11">
        <v>80</v>
      </c>
      <c r="Z59" s="11">
        <v>75</v>
      </c>
      <c r="AA59" s="11">
        <v>39</v>
      </c>
      <c r="AB59" s="11">
        <v>228</v>
      </c>
      <c r="AC59" s="11">
        <f t="shared" si="10"/>
        <v>36</v>
      </c>
      <c r="AD59" s="11">
        <f t="shared" si="9"/>
        <v>153</v>
      </c>
      <c r="AE59" s="11">
        <v>56</v>
      </c>
      <c r="AF59">
        <v>45</v>
      </c>
      <c r="AG59" s="46" t="b">
        <f>IF('AAA Summary'!$L$4=2, J59, IF('AAA Summary'!$L$4=1, Z59))</f>
        <v>0</v>
      </c>
      <c r="AH59" s="46" t="b">
        <f>IF('AAA Summary'!$L$4=2, W59, IF('AAA Summary'!$L$4=1, AC59))</f>
        <v>0</v>
      </c>
      <c r="AI59" s="46" t="b">
        <f>IF('AAA Summary'!$L$4=2, X59, IF('AAA Summary'!$L$4=1, AD59))</f>
        <v>0</v>
      </c>
      <c r="AJ59" s="46" t="b">
        <f>IF('AAA Summary'!$L$4=2, Y59, IF('AAA Summary'!$L$4=1, AE59))</f>
        <v>0</v>
      </c>
      <c r="AK59" s="8" t="s">
        <v>284</v>
      </c>
    </row>
    <row r="60" spans="1:37" x14ac:dyDescent="0.25">
      <c r="A60" t="s">
        <v>32</v>
      </c>
      <c r="B60" t="s">
        <v>33</v>
      </c>
      <c r="C60" s="50">
        <v>21</v>
      </c>
      <c r="D60" s="50">
        <v>11</v>
      </c>
      <c r="E60" s="51">
        <v>1</v>
      </c>
      <c r="F60" s="51">
        <v>1</v>
      </c>
      <c r="G60" s="51">
        <v>1</v>
      </c>
      <c r="H60" s="51">
        <v>0.95</v>
      </c>
      <c r="I60" s="27" t="s">
        <v>440</v>
      </c>
      <c r="J60">
        <v>61.9</v>
      </c>
      <c r="K60">
        <v>38.4</v>
      </c>
      <c r="L60">
        <v>81.899999999999991</v>
      </c>
      <c r="M60" s="27" t="s">
        <v>441</v>
      </c>
      <c r="N60" s="27" t="s">
        <v>235</v>
      </c>
      <c r="O60" s="52">
        <v>1.2E-2</v>
      </c>
      <c r="P60" s="27" t="str">
        <f t="shared" si="6"/>
        <v>REF</v>
      </c>
      <c r="Q60" s="26">
        <f t="shared" si="11"/>
        <v>4</v>
      </c>
      <c r="R60" s="26">
        <f t="shared" si="12"/>
        <v>4</v>
      </c>
      <c r="S60" s="26">
        <f t="shared" si="13"/>
        <v>4</v>
      </c>
      <c r="T60" s="26">
        <f t="shared" si="4"/>
        <v>3</v>
      </c>
      <c r="U60" s="46">
        <f>IF('AAA Summary'!$L$35=4, RANK(H60,H$8:H$82,1)+COUNTIF($H$8:H60,H60)-1, IF('AAA Summary'!$L$35=3, RANK(G60,G$8:G$82,1)+COUNTIF($G$8:G60,G60)-1, IF('AAA Summary'!$L$35=2, RANK(F60,F$8:F$82,1)+COUNTIF($F$8:F60,F60)-1, IF('AAA Summary'!$L$35=1, RANK(E60,E$8:E$82,1)+COUNTIF($E$8:E60,E60)-1))))</f>
        <v>69</v>
      </c>
      <c r="V60" s="34">
        <f>IF('AAA Summary'!$L$35=4, H60, IF('AAA Summary'!$L$35=3, G60, IF('AAA Summary'!$L$35=2, F60, IF('AAA Summary'!$L$35=1, E60))))</f>
        <v>1</v>
      </c>
      <c r="W60" s="11">
        <f t="shared" si="7"/>
        <v>23.5</v>
      </c>
      <c r="X60" s="11">
        <f t="shared" si="8"/>
        <v>19.999999999999993</v>
      </c>
      <c r="Y60" s="11">
        <v>80</v>
      </c>
      <c r="Z60" s="11">
        <v>46</v>
      </c>
      <c r="AA60" s="11">
        <v>27</v>
      </c>
      <c r="AB60" s="11">
        <v>100</v>
      </c>
      <c r="AC60" s="11">
        <f t="shared" si="10"/>
        <v>19</v>
      </c>
      <c r="AD60" s="11">
        <f t="shared" si="9"/>
        <v>54</v>
      </c>
      <c r="AE60" s="11">
        <v>56</v>
      </c>
      <c r="AF60">
        <v>9</v>
      </c>
      <c r="AG60" s="46" t="b">
        <f>IF('AAA Summary'!$L$4=2, J60, IF('AAA Summary'!$L$4=1, Z60))</f>
        <v>0</v>
      </c>
      <c r="AH60" s="46" t="b">
        <f>IF('AAA Summary'!$L$4=2, W60, IF('AAA Summary'!$L$4=1, AC60))</f>
        <v>0</v>
      </c>
      <c r="AI60" s="46" t="b">
        <f>IF('AAA Summary'!$L$4=2, X60, IF('AAA Summary'!$L$4=1, AD60))</f>
        <v>0</v>
      </c>
      <c r="AJ60" s="46" t="b">
        <f>IF('AAA Summary'!$L$4=2, Y60, IF('AAA Summary'!$L$4=1, AE60))</f>
        <v>0</v>
      </c>
      <c r="AK60" s="8">
        <v>0.61899999999999999</v>
      </c>
    </row>
    <row r="61" spans="1:37" x14ac:dyDescent="0.25">
      <c r="A61" t="s">
        <v>42</v>
      </c>
      <c r="B61" t="s">
        <v>43</v>
      </c>
      <c r="C61" s="50">
        <v>32</v>
      </c>
      <c r="D61" s="50">
        <v>11</v>
      </c>
      <c r="E61" s="51">
        <v>1</v>
      </c>
      <c r="F61" s="51">
        <v>1</v>
      </c>
      <c r="G61" s="51">
        <v>1</v>
      </c>
      <c r="H61" s="51">
        <v>0.97</v>
      </c>
      <c r="I61" s="27" t="s">
        <v>442</v>
      </c>
      <c r="J61">
        <v>37.5</v>
      </c>
      <c r="K61">
        <v>21.099999999999998</v>
      </c>
      <c r="L61">
        <v>56.3</v>
      </c>
      <c r="M61" s="27" t="s">
        <v>443</v>
      </c>
      <c r="N61" s="27" t="s">
        <v>237</v>
      </c>
      <c r="O61" s="52">
        <v>1.3999999999999999E-2</v>
      </c>
      <c r="P61" s="27" t="str">
        <f t="shared" si="6"/>
        <v>RH8</v>
      </c>
      <c r="Q61" s="26">
        <f t="shared" si="11"/>
        <v>4</v>
      </c>
      <c r="R61" s="26">
        <f t="shared" si="12"/>
        <v>4</v>
      </c>
      <c r="S61" s="26">
        <f t="shared" si="13"/>
        <v>4</v>
      </c>
      <c r="T61" s="26">
        <f t="shared" si="4"/>
        <v>4</v>
      </c>
      <c r="U61" s="46">
        <f>IF('AAA Summary'!$L$35=4, RANK(H61,H$8:H$82,1)+COUNTIF($H$8:H61,H61)-1, IF('AAA Summary'!$L$35=3, RANK(G61,G$8:G$82,1)+COUNTIF($G$8:G61,G61)-1, IF('AAA Summary'!$L$35=2, RANK(F61,F$8:F$82,1)+COUNTIF($F$8:F61,F61)-1, IF('AAA Summary'!$L$35=1, RANK(E61,E$8:E$82,1)+COUNTIF($E$8:E61,E61)-1))))</f>
        <v>70</v>
      </c>
      <c r="V61" s="34">
        <f>IF('AAA Summary'!$L$35=4, H61, IF('AAA Summary'!$L$35=3, G61, IF('AAA Summary'!$L$35=2, F61, IF('AAA Summary'!$L$35=1, E61))))</f>
        <v>1</v>
      </c>
      <c r="W61" s="11">
        <f t="shared" si="7"/>
        <v>16.400000000000002</v>
      </c>
      <c r="X61" s="11">
        <f t="shared" si="8"/>
        <v>18.799999999999997</v>
      </c>
      <c r="Y61" s="11">
        <v>80</v>
      </c>
      <c r="Z61" s="11">
        <v>75</v>
      </c>
      <c r="AA61" s="11">
        <v>47</v>
      </c>
      <c r="AB61" s="11">
        <v>142</v>
      </c>
      <c r="AC61" s="11">
        <f t="shared" si="10"/>
        <v>28</v>
      </c>
      <c r="AD61" s="11">
        <f t="shared" si="9"/>
        <v>67</v>
      </c>
      <c r="AE61" s="11">
        <v>56</v>
      </c>
      <c r="AF61">
        <v>47</v>
      </c>
      <c r="AG61" s="46" t="b">
        <f>IF('AAA Summary'!$L$4=2, J61, IF('AAA Summary'!$L$4=1, Z61))</f>
        <v>0</v>
      </c>
      <c r="AH61" s="46" t="b">
        <f>IF('AAA Summary'!$L$4=2, W61, IF('AAA Summary'!$L$4=1, AC61))</f>
        <v>0</v>
      </c>
      <c r="AI61" s="46" t="b">
        <f>IF('AAA Summary'!$L$4=2, X61, IF('AAA Summary'!$L$4=1, AD61))</f>
        <v>0</v>
      </c>
      <c r="AJ61" s="46" t="b">
        <f>IF('AAA Summary'!$L$4=2, Y61, IF('AAA Summary'!$L$4=1, AE61))</f>
        <v>0</v>
      </c>
      <c r="AK61" s="8">
        <v>0.375</v>
      </c>
    </row>
    <row r="62" spans="1:37" x14ac:dyDescent="0.25">
      <c r="A62" t="s">
        <v>19</v>
      </c>
      <c r="B62" t="s">
        <v>20</v>
      </c>
      <c r="C62" s="50">
        <v>37</v>
      </c>
      <c r="D62" s="50">
        <v>27</v>
      </c>
      <c r="E62" s="51">
        <v>0.78</v>
      </c>
      <c r="F62" s="51">
        <v>0.97</v>
      </c>
      <c r="G62" s="51">
        <v>0.8</v>
      </c>
      <c r="H62" s="51">
        <v>0.78</v>
      </c>
      <c r="I62" s="27" t="s">
        <v>444</v>
      </c>
      <c r="J62">
        <v>20.7</v>
      </c>
      <c r="K62">
        <v>8</v>
      </c>
      <c r="L62">
        <v>39.700000000000003</v>
      </c>
      <c r="M62" s="27" t="s">
        <v>445</v>
      </c>
      <c r="N62" s="27" t="s">
        <v>237</v>
      </c>
      <c r="O62" s="52">
        <v>0</v>
      </c>
      <c r="P62" s="27" t="str">
        <f t="shared" si="6"/>
        <v>RAL</v>
      </c>
      <c r="Q62" s="26">
        <f t="shared" si="11"/>
        <v>1</v>
      </c>
      <c r="R62" s="26">
        <f t="shared" si="12"/>
        <v>2</v>
      </c>
      <c r="S62" s="26">
        <f t="shared" si="13"/>
        <v>1</v>
      </c>
      <c r="T62" s="26">
        <f t="shared" si="4"/>
        <v>1</v>
      </c>
      <c r="U62" s="46">
        <f>IF('AAA Summary'!$L$35=4, RANK(H62,H$8:H$82,1)+COUNTIF($H$8:H62,H62)-1, IF('AAA Summary'!$L$35=3, RANK(G62,G$8:G$82,1)+COUNTIF($G$8:G62,G62)-1, IF('AAA Summary'!$L$35=2, RANK(F62,F$8:F$82,1)+COUNTIF($F$8:F62,F62)-1, IF('AAA Summary'!$L$35=1, RANK(E62,E$8:E$82,1)+COUNTIF($E$8:E62,E62)-1))))</f>
        <v>11</v>
      </c>
      <c r="V62" s="34">
        <f>IF('AAA Summary'!$L$35=4, H62, IF('AAA Summary'!$L$35=3, G62, IF('AAA Summary'!$L$35=2, F62, IF('AAA Summary'!$L$35=1, E62))))</f>
        <v>0.78</v>
      </c>
      <c r="W62" s="11">
        <f t="shared" si="7"/>
        <v>12.7</v>
      </c>
      <c r="X62" s="11">
        <f t="shared" si="8"/>
        <v>19.000000000000004</v>
      </c>
      <c r="Y62" s="11">
        <v>80</v>
      </c>
      <c r="Z62" s="11">
        <v>88</v>
      </c>
      <c r="AA62" s="11">
        <v>66</v>
      </c>
      <c r="AB62" s="11">
        <v>136</v>
      </c>
      <c r="AC62" s="11">
        <f t="shared" si="10"/>
        <v>22</v>
      </c>
      <c r="AD62" s="11">
        <f t="shared" si="9"/>
        <v>48</v>
      </c>
      <c r="AE62" s="11">
        <v>56</v>
      </c>
      <c r="AF62">
        <v>61</v>
      </c>
      <c r="AG62" s="46" t="b">
        <f>IF('AAA Summary'!$L$4=2, J62, IF('AAA Summary'!$L$4=1, Z62))</f>
        <v>0</v>
      </c>
      <c r="AH62" s="46" t="b">
        <f>IF('AAA Summary'!$L$4=2, W62, IF('AAA Summary'!$L$4=1, AC62))</f>
        <v>0</v>
      </c>
      <c r="AI62" s="46" t="b">
        <f>IF('AAA Summary'!$L$4=2, X62, IF('AAA Summary'!$L$4=1, AD62))</f>
        <v>0</v>
      </c>
      <c r="AJ62" s="46" t="b">
        <f>IF('AAA Summary'!$L$4=2, Y62, IF('AAA Summary'!$L$4=1, AE62))</f>
        <v>0</v>
      </c>
      <c r="AK62" s="8">
        <v>0.20699999999999999</v>
      </c>
    </row>
    <row r="63" spans="1:37" x14ac:dyDescent="0.25">
      <c r="A63" t="s">
        <v>46</v>
      </c>
      <c r="B63" t="s">
        <v>47</v>
      </c>
      <c r="C63" s="50">
        <v>37</v>
      </c>
      <c r="D63" s="50">
        <v>16</v>
      </c>
      <c r="E63" s="51">
        <v>0.73</v>
      </c>
      <c r="F63" s="51">
        <v>0.95</v>
      </c>
      <c r="G63" s="51">
        <v>0.71</v>
      </c>
      <c r="H63" s="51">
        <v>0.76</v>
      </c>
      <c r="I63" s="27" t="s">
        <v>446</v>
      </c>
      <c r="J63">
        <v>25.900000000000002</v>
      </c>
      <c r="K63">
        <v>11.1</v>
      </c>
      <c r="L63">
        <v>46.300000000000004</v>
      </c>
      <c r="M63" s="27" t="s">
        <v>267</v>
      </c>
      <c r="N63" s="27" t="s">
        <v>235</v>
      </c>
      <c r="O63" s="52">
        <v>2.5000000000000001E-2</v>
      </c>
      <c r="P63" s="27" t="str">
        <f t="shared" si="6"/>
        <v>RHQ</v>
      </c>
      <c r="Q63" s="26">
        <f t="shared" si="11"/>
        <v>1</v>
      </c>
      <c r="R63" s="26">
        <f t="shared" si="12"/>
        <v>1</v>
      </c>
      <c r="S63" s="26">
        <f t="shared" si="13"/>
        <v>1</v>
      </c>
      <c r="T63" s="26">
        <f t="shared" si="4"/>
        <v>1</v>
      </c>
      <c r="U63" s="46">
        <f>IF('AAA Summary'!$L$35=4, RANK(H63,H$8:H$82,1)+COUNTIF($H$8:H63,H63)-1, IF('AAA Summary'!$L$35=3, RANK(G63,G$8:G$82,1)+COUNTIF($G$8:G63,G63)-1, IF('AAA Summary'!$L$35=2, RANK(F63,F$8:F$82,1)+COUNTIF($F$8:F63,F63)-1, IF('AAA Summary'!$L$35=1, RANK(E63,E$8:E$82,1)+COUNTIF($E$8:E63,E63)-1))))</f>
        <v>7</v>
      </c>
      <c r="V63" s="34">
        <f>IF('AAA Summary'!$L$35=4, H63, IF('AAA Summary'!$L$35=3, G63, IF('AAA Summary'!$L$35=2, F63, IF('AAA Summary'!$L$35=1, E63))))</f>
        <v>0.73</v>
      </c>
      <c r="W63" s="11">
        <f t="shared" si="7"/>
        <v>14.800000000000002</v>
      </c>
      <c r="X63" s="11">
        <f t="shared" si="8"/>
        <v>20.400000000000002</v>
      </c>
      <c r="Y63" s="11">
        <v>80</v>
      </c>
      <c r="Z63" s="11">
        <v>80</v>
      </c>
      <c r="AA63" s="11">
        <v>55</v>
      </c>
      <c r="AB63" s="11">
        <v>116</v>
      </c>
      <c r="AC63" s="11">
        <f t="shared" si="10"/>
        <v>25</v>
      </c>
      <c r="AD63" s="11">
        <f t="shared" si="9"/>
        <v>36</v>
      </c>
      <c r="AE63" s="11">
        <v>56</v>
      </c>
      <c r="AF63">
        <v>57</v>
      </c>
      <c r="AG63" s="46" t="b">
        <f>IF('AAA Summary'!$L$4=2, J63, IF('AAA Summary'!$L$4=1, Z63))</f>
        <v>0</v>
      </c>
      <c r="AH63" s="46" t="b">
        <f>IF('AAA Summary'!$L$4=2, W63, IF('AAA Summary'!$L$4=1, AC63))</f>
        <v>0</v>
      </c>
      <c r="AI63" s="46" t="b">
        <f>IF('AAA Summary'!$L$4=2, X63, IF('AAA Summary'!$L$4=1, AD63))</f>
        <v>0</v>
      </c>
      <c r="AJ63" s="46" t="b">
        <f>IF('AAA Summary'!$L$4=2, Y63, IF('AAA Summary'!$L$4=1, AE63))</f>
        <v>0</v>
      </c>
      <c r="AK63" s="8">
        <v>0.25900000000000001</v>
      </c>
    </row>
    <row r="64" spans="1:37" x14ac:dyDescent="0.25">
      <c r="A64" t="s">
        <v>127</v>
      </c>
      <c r="B64" t="s">
        <v>128</v>
      </c>
      <c r="C64" s="50">
        <v>37</v>
      </c>
      <c r="D64" s="50">
        <v>27</v>
      </c>
      <c r="E64" s="51">
        <v>0.92</v>
      </c>
      <c r="F64" s="51">
        <v>0.95</v>
      </c>
      <c r="G64" s="51">
        <v>0.91</v>
      </c>
      <c r="H64" s="51">
        <v>0.84</v>
      </c>
      <c r="I64" s="27" t="s">
        <v>447</v>
      </c>
      <c r="J64">
        <v>61.8</v>
      </c>
      <c r="K64">
        <v>43.6</v>
      </c>
      <c r="L64">
        <v>77.8</v>
      </c>
      <c r="M64" s="27" t="s">
        <v>258</v>
      </c>
      <c r="N64" s="27" t="s">
        <v>252</v>
      </c>
      <c r="O64" s="52">
        <v>0</v>
      </c>
      <c r="P64" s="27" t="str">
        <f t="shared" si="6"/>
        <v>RXW</v>
      </c>
      <c r="Q64" s="26">
        <f t="shared" si="11"/>
        <v>2</v>
      </c>
      <c r="R64" s="26">
        <f t="shared" si="12"/>
        <v>1</v>
      </c>
      <c r="S64" s="26">
        <f t="shared" si="13"/>
        <v>2</v>
      </c>
      <c r="T64" s="26">
        <f t="shared" si="4"/>
        <v>2</v>
      </c>
      <c r="U64" s="46">
        <f>IF('AAA Summary'!$L$35=4, RANK(H64,H$8:H$82,1)+COUNTIF($H$8:H64,H64)-1, IF('AAA Summary'!$L$35=3, RANK(G64,G$8:G$82,1)+COUNTIF($G$8:G64,G64)-1, IF('AAA Summary'!$L$35=2, RANK(F64,F$8:F$82,1)+COUNTIF($F$8:F64,F64)-1, IF('AAA Summary'!$L$35=1, RANK(E64,E$8:E$82,1)+COUNTIF($E$8:E64,E64)-1))))</f>
        <v>30</v>
      </c>
      <c r="V64" s="34">
        <f>IF('AAA Summary'!$L$35=4, H64, IF('AAA Summary'!$L$35=3, G64, IF('AAA Summary'!$L$35=2, F64, IF('AAA Summary'!$L$35=1, E64))))</f>
        <v>0.92</v>
      </c>
      <c r="W64" s="11">
        <f t="shared" si="7"/>
        <v>18.199999999999996</v>
      </c>
      <c r="X64" s="11">
        <f t="shared" si="8"/>
        <v>16</v>
      </c>
      <c r="Y64" s="11">
        <v>80</v>
      </c>
      <c r="Z64" s="11">
        <v>45</v>
      </c>
      <c r="AA64" s="11">
        <v>31</v>
      </c>
      <c r="AB64" s="11">
        <v>73</v>
      </c>
      <c r="AC64" s="11">
        <f t="shared" si="10"/>
        <v>14</v>
      </c>
      <c r="AD64" s="11">
        <f t="shared" si="9"/>
        <v>28</v>
      </c>
      <c r="AE64" s="11">
        <v>56</v>
      </c>
      <c r="AF64">
        <v>8</v>
      </c>
      <c r="AG64" s="46" t="b">
        <f>IF('AAA Summary'!$L$4=2, J64, IF('AAA Summary'!$L$4=1, Z64))</f>
        <v>0</v>
      </c>
      <c r="AH64" s="46" t="b">
        <f>IF('AAA Summary'!$L$4=2, W64, IF('AAA Summary'!$L$4=1, AC64))</f>
        <v>0</v>
      </c>
      <c r="AI64" s="46" t="b">
        <f>IF('AAA Summary'!$L$4=2, X64, IF('AAA Summary'!$L$4=1, AD64))</f>
        <v>0</v>
      </c>
      <c r="AJ64" s="46" t="b">
        <f>IF('AAA Summary'!$L$4=2, Y64, IF('AAA Summary'!$L$4=1, AE64))</f>
        <v>0</v>
      </c>
      <c r="AK64" s="8">
        <v>0.61799999999999999</v>
      </c>
    </row>
    <row r="65" spans="1:37" x14ac:dyDescent="0.25">
      <c r="A65" t="s">
        <v>98</v>
      </c>
      <c r="B65" t="s">
        <v>99</v>
      </c>
      <c r="C65" s="50">
        <v>45</v>
      </c>
      <c r="D65" s="50">
        <v>27</v>
      </c>
      <c r="E65" s="51">
        <v>0.93</v>
      </c>
      <c r="F65" s="51">
        <v>0.91</v>
      </c>
      <c r="G65" s="51">
        <v>0.93</v>
      </c>
      <c r="H65" s="51">
        <v>0.96</v>
      </c>
      <c r="I65" s="27" t="s">
        <v>448</v>
      </c>
      <c r="J65">
        <v>38.1</v>
      </c>
      <c r="K65">
        <v>23.599999999999998</v>
      </c>
      <c r="L65">
        <v>54.400000000000006</v>
      </c>
      <c r="M65" s="27" t="s">
        <v>275</v>
      </c>
      <c r="N65" s="27" t="s">
        <v>235</v>
      </c>
      <c r="O65" s="52">
        <v>0</v>
      </c>
      <c r="P65" s="27" t="str">
        <f t="shared" si="6"/>
        <v>RTR</v>
      </c>
      <c r="Q65" s="26">
        <f t="shared" si="11"/>
        <v>2</v>
      </c>
      <c r="R65" s="26">
        <f t="shared" si="12"/>
        <v>1</v>
      </c>
      <c r="S65" s="26">
        <f t="shared" si="13"/>
        <v>2</v>
      </c>
      <c r="T65" s="26">
        <f t="shared" si="4"/>
        <v>4</v>
      </c>
      <c r="U65" s="46">
        <f>IF('AAA Summary'!$L$35=4, RANK(H65,H$8:H$82,1)+COUNTIF($H$8:H65,H65)-1, IF('AAA Summary'!$L$35=3, RANK(G65,G$8:G$82,1)+COUNTIF($G$8:G65,G65)-1, IF('AAA Summary'!$L$35=2, RANK(F65,F$8:F$82,1)+COUNTIF($F$8:F65,F65)-1, IF('AAA Summary'!$L$35=1, RANK(E65,E$8:E$82,1)+COUNTIF($E$8:E65,E65)-1))))</f>
        <v>33</v>
      </c>
      <c r="V65" s="34">
        <f>IF('AAA Summary'!$L$35=4, H65, IF('AAA Summary'!$L$35=3, G65, IF('AAA Summary'!$L$35=2, F65, IF('AAA Summary'!$L$35=1, E65))))</f>
        <v>0.93</v>
      </c>
      <c r="W65" s="11">
        <f t="shared" si="7"/>
        <v>14.500000000000004</v>
      </c>
      <c r="X65" s="11">
        <f t="shared" si="8"/>
        <v>16.300000000000004</v>
      </c>
      <c r="Y65" s="11">
        <v>80</v>
      </c>
      <c r="Z65" s="11">
        <v>83</v>
      </c>
      <c r="AA65" s="11">
        <v>47</v>
      </c>
      <c r="AB65" s="11">
        <v>127</v>
      </c>
      <c r="AC65" s="11">
        <f t="shared" si="10"/>
        <v>36</v>
      </c>
      <c r="AD65" s="11">
        <f t="shared" si="9"/>
        <v>44</v>
      </c>
      <c r="AE65" s="11">
        <v>56</v>
      </c>
      <c r="AF65">
        <v>58</v>
      </c>
      <c r="AG65" s="46" t="b">
        <f>IF('AAA Summary'!$L$4=2, J65, IF('AAA Summary'!$L$4=1, Z65))</f>
        <v>0</v>
      </c>
      <c r="AH65" s="46" t="b">
        <f>IF('AAA Summary'!$L$4=2, W65, IF('AAA Summary'!$L$4=1, AC65))</f>
        <v>0</v>
      </c>
      <c r="AI65" s="46" t="b">
        <f>IF('AAA Summary'!$L$4=2, X65, IF('AAA Summary'!$L$4=1, AD65))</f>
        <v>0</v>
      </c>
      <c r="AJ65" s="46" t="b">
        <f>IF('AAA Summary'!$L$4=2, Y65, IF('AAA Summary'!$L$4=1, AE65))</f>
        <v>0</v>
      </c>
      <c r="AK65" s="8">
        <v>0.38100000000000001</v>
      </c>
    </row>
    <row r="66" spans="1:37" x14ac:dyDescent="0.25">
      <c r="A66" t="s">
        <v>17</v>
      </c>
      <c r="B66" t="s">
        <v>18</v>
      </c>
      <c r="C66" s="50">
        <v>41</v>
      </c>
      <c r="D66" s="50">
        <v>32</v>
      </c>
      <c r="E66" s="51">
        <v>0.88</v>
      </c>
      <c r="F66" s="51">
        <v>1</v>
      </c>
      <c r="G66" s="51">
        <v>0.89</v>
      </c>
      <c r="H66" s="51">
        <v>0.71</v>
      </c>
      <c r="I66" s="27" t="s">
        <v>449</v>
      </c>
      <c r="J66">
        <v>30.599999999999998</v>
      </c>
      <c r="K66">
        <v>16.3</v>
      </c>
      <c r="L66">
        <v>48.1</v>
      </c>
      <c r="M66" s="27" t="s">
        <v>450</v>
      </c>
      <c r="N66" s="27" t="s">
        <v>235</v>
      </c>
      <c r="O66" s="52">
        <v>2.2000000000000002E-2</v>
      </c>
      <c r="P66" s="27" t="str">
        <f t="shared" si="6"/>
        <v>RAJ</v>
      </c>
      <c r="Q66" s="26">
        <f t="shared" si="11"/>
        <v>2</v>
      </c>
      <c r="R66" s="26">
        <f t="shared" si="12"/>
        <v>4</v>
      </c>
      <c r="S66" s="26">
        <f t="shared" si="13"/>
        <v>2</v>
      </c>
      <c r="T66" s="26">
        <f t="shared" si="4"/>
        <v>1</v>
      </c>
      <c r="U66" s="46">
        <f>IF('AAA Summary'!$L$35=4, RANK(H66,H$8:H$82,1)+COUNTIF($H$8:H66,H66)-1, IF('AAA Summary'!$L$35=3, RANK(G66,G$8:G$82,1)+COUNTIF($G$8:G66,G66)-1, IF('AAA Summary'!$L$35=2, RANK(F66,F$8:F$82,1)+COUNTIF($F$8:F66,F66)-1, IF('AAA Summary'!$L$35=1, RANK(E66,E$8:E$82,1)+COUNTIF($E$8:E66,E66)-1))))</f>
        <v>20</v>
      </c>
      <c r="V66" s="34">
        <f>IF('AAA Summary'!$L$35=4, H66, IF('AAA Summary'!$L$35=3, G66, IF('AAA Summary'!$L$35=2, F66, IF('AAA Summary'!$L$35=1, E66))))</f>
        <v>0.88</v>
      </c>
      <c r="W66" s="11">
        <f t="shared" si="7"/>
        <v>14.299999999999997</v>
      </c>
      <c r="X66" s="11">
        <f t="shared" si="8"/>
        <v>17.500000000000004</v>
      </c>
      <c r="Y66" s="11">
        <v>80</v>
      </c>
      <c r="Z66" s="11">
        <v>80</v>
      </c>
      <c r="AA66" s="11">
        <v>52</v>
      </c>
      <c r="AB66" s="11">
        <v>130</v>
      </c>
      <c r="AC66" s="11">
        <f t="shared" si="10"/>
        <v>28</v>
      </c>
      <c r="AD66" s="11">
        <f t="shared" si="9"/>
        <v>50</v>
      </c>
      <c r="AE66" s="11">
        <v>56</v>
      </c>
      <c r="AF66">
        <v>56</v>
      </c>
      <c r="AG66" s="46" t="b">
        <f>IF('AAA Summary'!$L$4=2, J66, IF('AAA Summary'!$L$4=1, Z66))</f>
        <v>0</v>
      </c>
      <c r="AH66" s="46" t="b">
        <f>IF('AAA Summary'!$L$4=2, W66, IF('AAA Summary'!$L$4=1, AC66))</f>
        <v>0</v>
      </c>
      <c r="AI66" s="46" t="b">
        <f>IF('AAA Summary'!$L$4=2, X66, IF('AAA Summary'!$L$4=1, AD66))</f>
        <v>0</v>
      </c>
      <c r="AJ66" s="46" t="b">
        <f>IF('AAA Summary'!$L$4=2, Y66, IF('AAA Summary'!$L$4=1, AE66))</f>
        <v>0</v>
      </c>
      <c r="AK66" s="8">
        <v>0.30599999999999999</v>
      </c>
    </row>
    <row r="67" spans="1:37" x14ac:dyDescent="0.25">
      <c r="A67" t="s">
        <v>52</v>
      </c>
      <c r="B67" t="s">
        <v>53</v>
      </c>
      <c r="C67" s="50">
        <v>61</v>
      </c>
      <c r="D67" s="50">
        <v>56</v>
      </c>
      <c r="E67" s="51">
        <v>0.84</v>
      </c>
      <c r="F67" s="51">
        <v>0.98</v>
      </c>
      <c r="G67" s="51">
        <v>0.82</v>
      </c>
      <c r="H67" s="51">
        <v>0.87</v>
      </c>
      <c r="I67" s="27" t="s">
        <v>451</v>
      </c>
      <c r="J67">
        <v>45.1</v>
      </c>
      <c r="K67">
        <v>31.1</v>
      </c>
      <c r="L67">
        <v>59.699999999999996</v>
      </c>
      <c r="M67" s="27" t="s">
        <v>452</v>
      </c>
      <c r="N67" s="27" t="s">
        <v>235</v>
      </c>
      <c r="O67" s="52">
        <v>0</v>
      </c>
      <c r="P67" s="27" t="str">
        <f t="shared" si="6"/>
        <v>RJ7</v>
      </c>
      <c r="Q67" s="26">
        <f t="shared" si="11"/>
        <v>1</v>
      </c>
      <c r="R67" s="26">
        <f t="shared" si="12"/>
        <v>2</v>
      </c>
      <c r="S67" s="26">
        <f t="shared" si="13"/>
        <v>1</v>
      </c>
      <c r="T67" s="26">
        <f t="shared" si="4"/>
        <v>2</v>
      </c>
      <c r="U67" s="46">
        <f>IF('AAA Summary'!$L$35=4, RANK(H67,H$8:H$82,1)+COUNTIF($H$8:H67,H67)-1, IF('AAA Summary'!$L$35=3, RANK(G67,G$8:G$82,1)+COUNTIF($G$8:G67,G67)-1, IF('AAA Summary'!$L$35=2, RANK(F67,F$8:F$82,1)+COUNTIF($F$8:F67,F67)-1, IF('AAA Summary'!$L$35=1, RANK(E67,E$8:E$82,1)+COUNTIF($E$8:E67,E67)-1))))</f>
        <v>13</v>
      </c>
      <c r="V67" s="34">
        <f>IF('AAA Summary'!$L$35=4, H67, IF('AAA Summary'!$L$35=3, G67, IF('AAA Summary'!$L$35=2, F67, IF('AAA Summary'!$L$35=1, E67))))</f>
        <v>0.84</v>
      </c>
      <c r="W67" s="11">
        <f t="shared" si="7"/>
        <v>14</v>
      </c>
      <c r="X67" s="11">
        <f t="shared" si="8"/>
        <v>14.599999999999994</v>
      </c>
      <c r="Y67" s="11">
        <v>80</v>
      </c>
      <c r="Z67" s="11">
        <v>69</v>
      </c>
      <c r="AA67" s="11">
        <v>30</v>
      </c>
      <c r="AB67" s="11">
        <v>124</v>
      </c>
      <c r="AC67" s="11">
        <f t="shared" si="10"/>
        <v>39</v>
      </c>
      <c r="AD67" s="11">
        <f t="shared" si="9"/>
        <v>55</v>
      </c>
      <c r="AE67" s="11">
        <v>56</v>
      </c>
      <c r="AF67">
        <v>40</v>
      </c>
      <c r="AG67" s="46" t="b">
        <f>IF('AAA Summary'!$L$4=2, J67, IF('AAA Summary'!$L$4=1, Z67))</f>
        <v>0</v>
      </c>
      <c r="AH67" s="46" t="b">
        <f>IF('AAA Summary'!$L$4=2, W67, IF('AAA Summary'!$L$4=1, AC67))</f>
        <v>0</v>
      </c>
      <c r="AI67" s="46" t="b">
        <f>IF('AAA Summary'!$L$4=2, X67, IF('AAA Summary'!$L$4=1, AD67))</f>
        <v>0</v>
      </c>
      <c r="AJ67" s="46" t="b">
        <f>IF('AAA Summary'!$L$4=2, Y67, IF('AAA Summary'!$L$4=1, AE67))</f>
        <v>0</v>
      </c>
      <c r="AK67" s="8">
        <v>0.45100000000000001</v>
      </c>
    </row>
    <row r="68" spans="1:37" x14ac:dyDescent="0.25">
      <c r="A68" t="s">
        <v>2</v>
      </c>
      <c r="B68" t="s">
        <v>168</v>
      </c>
      <c r="C68" s="50">
        <v>61</v>
      </c>
      <c r="D68" s="50">
        <v>20</v>
      </c>
      <c r="E68" s="51">
        <v>0.97</v>
      </c>
      <c r="F68" s="51">
        <v>1</v>
      </c>
      <c r="G68" s="51">
        <v>0.98</v>
      </c>
      <c r="H68" s="51">
        <v>0.92</v>
      </c>
      <c r="I68" s="27" t="s">
        <v>453</v>
      </c>
      <c r="J68">
        <v>33.900000000000006</v>
      </c>
      <c r="K68">
        <v>22.1</v>
      </c>
      <c r="L68">
        <v>47.4</v>
      </c>
      <c r="M68" s="27" t="s">
        <v>266</v>
      </c>
      <c r="N68" s="27" t="s">
        <v>183</v>
      </c>
      <c r="O68" s="52">
        <v>3.7999999999999999E-2</v>
      </c>
      <c r="P68" s="27" t="str">
        <f t="shared" si="6"/>
        <v>7A3</v>
      </c>
      <c r="Q68" s="26">
        <f t="shared" si="11"/>
        <v>3</v>
      </c>
      <c r="R68" s="26">
        <f t="shared" si="12"/>
        <v>4</v>
      </c>
      <c r="S68" s="26">
        <f t="shared" si="13"/>
        <v>3</v>
      </c>
      <c r="T68" s="26">
        <f t="shared" si="4"/>
        <v>3</v>
      </c>
      <c r="U68" s="46">
        <f>IF('AAA Summary'!$L$35=4, RANK(H68,H$8:H$82,1)+COUNTIF($H$8:H68,H68)-1, IF('AAA Summary'!$L$35=3, RANK(G68,G$8:G$82,1)+COUNTIF($G$8:G68,G68)-1, IF('AAA Summary'!$L$35=2, RANK(F68,F$8:F$82,1)+COUNTIF($F$8:F68,F68)-1, IF('AAA Summary'!$L$35=1, RANK(E68,E$8:E$82,1)+COUNTIF($E$8:E68,E68)-1))))</f>
        <v>53</v>
      </c>
      <c r="V68" s="34">
        <f>IF('AAA Summary'!$L$35=4, H68, IF('AAA Summary'!$L$35=3, G68, IF('AAA Summary'!$L$35=2, F68, IF('AAA Summary'!$L$35=1, E68))))</f>
        <v>0.97</v>
      </c>
      <c r="W68" s="11">
        <f t="shared" si="7"/>
        <v>11.800000000000004</v>
      </c>
      <c r="X68" s="11">
        <f t="shared" si="8"/>
        <v>13.499999999999993</v>
      </c>
      <c r="Y68" s="11">
        <v>80</v>
      </c>
      <c r="Z68" s="11">
        <v>79</v>
      </c>
      <c r="AA68" s="11">
        <v>43</v>
      </c>
      <c r="AB68" s="11">
        <v>123</v>
      </c>
      <c r="AC68" s="11">
        <f t="shared" si="10"/>
        <v>36</v>
      </c>
      <c r="AD68" s="11">
        <f t="shared" si="9"/>
        <v>44</v>
      </c>
      <c r="AE68" s="11">
        <v>56</v>
      </c>
      <c r="AF68">
        <v>51</v>
      </c>
      <c r="AG68" s="46" t="b">
        <f>IF('AAA Summary'!$L$4=2, J68, IF('AAA Summary'!$L$4=1, Z68))</f>
        <v>0</v>
      </c>
      <c r="AH68" s="46" t="b">
        <f>IF('AAA Summary'!$L$4=2, W68, IF('AAA Summary'!$L$4=1, AC68))</f>
        <v>0</v>
      </c>
      <c r="AI68" s="46" t="b">
        <f>IF('AAA Summary'!$L$4=2, X68, IF('AAA Summary'!$L$4=1, AD68))</f>
        <v>0</v>
      </c>
      <c r="AJ68" s="46" t="b">
        <f>IF('AAA Summary'!$L$4=2, Y68, IF('AAA Summary'!$L$4=1, AE68))</f>
        <v>0</v>
      </c>
      <c r="AK68" s="8">
        <v>0.33900000000000002</v>
      </c>
    </row>
    <row r="69" spans="1:37" x14ac:dyDescent="0.25">
      <c r="A69" s="7" t="s">
        <v>513</v>
      </c>
      <c r="B69" s="95" t="s">
        <v>514</v>
      </c>
      <c r="C69" s="50">
        <v>62</v>
      </c>
      <c r="D69" s="50">
        <v>37</v>
      </c>
      <c r="E69" s="51">
        <v>0.98</v>
      </c>
      <c r="F69" s="51">
        <v>0.97</v>
      </c>
      <c r="G69" s="51">
        <v>1</v>
      </c>
      <c r="H69" s="51">
        <v>0.98</v>
      </c>
      <c r="I69" s="27" t="s">
        <v>454</v>
      </c>
      <c r="J69">
        <v>44.3</v>
      </c>
      <c r="K69">
        <v>31.5</v>
      </c>
      <c r="L69">
        <v>57.599999999999994</v>
      </c>
      <c r="M69" s="27" t="s">
        <v>261</v>
      </c>
      <c r="N69" s="27" t="s">
        <v>237</v>
      </c>
      <c r="O69" s="52">
        <v>1.6E-2</v>
      </c>
      <c r="P69" s="27" t="str">
        <f t="shared" si="6"/>
        <v>RH5</v>
      </c>
      <c r="Q69" s="26">
        <f t="shared" si="11"/>
        <v>4</v>
      </c>
      <c r="R69" s="26">
        <f t="shared" si="12"/>
        <v>2</v>
      </c>
      <c r="S69" s="26">
        <f t="shared" si="13"/>
        <v>4</v>
      </c>
      <c r="T69" s="26">
        <f t="shared" si="4"/>
        <v>4</v>
      </c>
      <c r="U69" s="46">
        <f>IF('AAA Summary'!$L$35=4, RANK(H69,H$8:H$82,1)+COUNTIF($H$8:H69,H69)-1, IF('AAA Summary'!$L$35=3, RANK(G69,G$8:G$82,1)+COUNTIF($G$8:G69,G69)-1, IF('AAA Summary'!$L$35=2, RANK(F69,F$8:F$82,1)+COUNTIF($F$8:F69,F69)-1, IF('AAA Summary'!$L$35=1, RANK(E69,E$8:E$82,1)+COUNTIF($E$8:E69,E69)-1))))</f>
        <v>59</v>
      </c>
      <c r="V69" s="34">
        <f>IF('AAA Summary'!$L$35=4, H69, IF('AAA Summary'!$L$35=3, G69, IF('AAA Summary'!$L$35=2, F69, IF('AAA Summary'!$L$35=1, E69))))</f>
        <v>0.98</v>
      </c>
      <c r="W69" s="11">
        <f t="shared" si="7"/>
        <v>12.799999999999997</v>
      </c>
      <c r="X69" s="11">
        <f t="shared" si="8"/>
        <v>13.299999999999997</v>
      </c>
      <c r="Y69" s="11">
        <v>80</v>
      </c>
      <c r="Z69" s="11">
        <v>63</v>
      </c>
      <c r="AA69" s="11">
        <v>42</v>
      </c>
      <c r="AB69" s="11">
        <v>90</v>
      </c>
      <c r="AC69" s="11">
        <f t="shared" si="10"/>
        <v>21</v>
      </c>
      <c r="AD69" s="11">
        <f t="shared" si="9"/>
        <v>27</v>
      </c>
      <c r="AE69" s="11">
        <v>56</v>
      </c>
      <c r="AF69">
        <v>34</v>
      </c>
      <c r="AG69" s="46" t="b">
        <f>IF('AAA Summary'!$L$4=2, J69, IF('AAA Summary'!$L$4=1, Z69))</f>
        <v>0</v>
      </c>
      <c r="AH69" s="46" t="b">
        <f>IF('AAA Summary'!$L$4=2, W69, IF('AAA Summary'!$L$4=1, AC69))</f>
        <v>0</v>
      </c>
      <c r="AI69" s="46" t="b">
        <f>IF('AAA Summary'!$L$4=2, X69, IF('AAA Summary'!$L$4=1, AD69))</f>
        <v>0</v>
      </c>
      <c r="AJ69" s="46" t="b">
        <f>IF('AAA Summary'!$L$4=2, Y69, IF('AAA Summary'!$L$4=1, AE69))</f>
        <v>0</v>
      </c>
      <c r="AK69" s="8">
        <v>0.443</v>
      </c>
    </row>
    <row r="70" spans="1:37" x14ac:dyDescent="0.25">
      <c r="A70" t="s">
        <v>69</v>
      </c>
      <c r="B70" t="s">
        <v>70</v>
      </c>
      <c r="C70" s="50">
        <v>58</v>
      </c>
      <c r="D70" s="50">
        <v>31</v>
      </c>
      <c r="E70" s="51">
        <v>0.88</v>
      </c>
      <c r="F70" s="51">
        <v>0.98</v>
      </c>
      <c r="G70" s="51">
        <v>0.9</v>
      </c>
      <c r="H70" s="51">
        <v>0.81</v>
      </c>
      <c r="I70" s="27" t="s">
        <v>455</v>
      </c>
      <c r="J70">
        <v>51</v>
      </c>
      <c r="K70">
        <v>36.6</v>
      </c>
      <c r="L70">
        <v>65.2</v>
      </c>
      <c r="M70" s="27" t="s">
        <v>182</v>
      </c>
      <c r="N70" s="27" t="s">
        <v>220</v>
      </c>
      <c r="O70" s="52">
        <v>0</v>
      </c>
      <c r="P70" s="27" t="str">
        <f t="shared" si="6"/>
        <v>RNA</v>
      </c>
      <c r="Q70" s="26">
        <f t="shared" si="11"/>
        <v>2</v>
      </c>
      <c r="R70" s="26">
        <f t="shared" si="12"/>
        <v>2</v>
      </c>
      <c r="S70" s="26">
        <f t="shared" si="13"/>
        <v>2</v>
      </c>
      <c r="T70" s="26">
        <f t="shared" si="4"/>
        <v>2</v>
      </c>
      <c r="U70" s="46">
        <f>IF('AAA Summary'!$L$35=4, RANK(H70,H$8:H$82,1)+COUNTIF($H$8:H70,H70)-1, IF('AAA Summary'!$L$35=3, RANK(G70,G$8:G$82,1)+COUNTIF($G$8:G70,G70)-1, IF('AAA Summary'!$L$35=2, RANK(F70,F$8:F$82,1)+COUNTIF($F$8:F70,F70)-1, IF('AAA Summary'!$L$35=1, RANK(E70,E$8:E$82,1)+COUNTIF($E$8:E70,E70)-1))))</f>
        <v>21</v>
      </c>
      <c r="V70" s="34">
        <f>IF('AAA Summary'!$L$35=4, H70, IF('AAA Summary'!$L$35=3, G70, IF('AAA Summary'!$L$35=2, F70, IF('AAA Summary'!$L$35=1, E70))))</f>
        <v>0.88</v>
      </c>
      <c r="W70" s="11">
        <f t="shared" si="7"/>
        <v>14.399999999999999</v>
      </c>
      <c r="X70" s="11">
        <f t="shared" si="8"/>
        <v>14.200000000000003</v>
      </c>
      <c r="Y70" s="11">
        <v>80</v>
      </c>
      <c r="Z70" s="11">
        <v>56</v>
      </c>
      <c r="AA70" s="11">
        <v>33</v>
      </c>
      <c r="AB70" s="11">
        <v>98</v>
      </c>
      <c r="AC70" s="11">
        <f t="shared" si="10"/>
        <v>23</v>
      </c>
      <c r="AD70" s="11">
        <f t="shared" si="9"/>
        <v>42</v>
      </c>
      <c r="AE70" s="11">
        <v>56</v>
      </c>
      <c r="AF70">
        <v>23</v>
      </c>
      <c r="AG70" s="46" t="b">
        <f>IF('AAA Summary'!$L$4=2, J70, IF('AAA Summary'!$L$4=1, Z70))</f>
        <v>0</v>
      </c>
      <c r="AH70" s="46" t="b">
        <f>IF('AAA Summary'!$L$4=2, W70, IF('AAA Summary'!$L$4=1, AC70))</f>
        <v>0</v>
      </c>
      <c r="AI70" s="46" t="b">
        <f>IF('AAA Summary'!$L$4=2, X70, IF('AAA Summary'!$L$4=1, AD70))</f>
        <v>0</v>
      </c>
      <c r="AJ70" s="46" t="b">
        <f>IF('AAA Summary'!$L$4=2, Y70, IF('AAA Summary'!$L$4=1, AE70))</f>
        <v>0</v>
      </c>
      <c r="AK70" s="8">
        <v>0.51</v>
      </c>
    </row>
    <row r="71" spans="1:37" x14ac:dyDescent="0.25">
      <c r="A71" t="s">
        <v>13</v>
      </c>
      <c r="B71" t="s">
        <v>14</v>
      </c>
      <c r="C71" s="50">
        <v>15</v>
      </c>
      <c r="D71" s="50">
        <v>10</v>
      </c>
      <c r="E71" s="51">
        <v>1</v>
      </c>
      <c r="F71" s="51">
        <v>1</v>
      </c>
      <c r="G71" s="51">
        <v>1</v>
      </c>
      <c r="H71" s="51">
        <v>1</v>
      </c>
      <c r="I71" s="27" t="s">
        <v>456</v>
      </c>
      <c r="J71">
        <v>53.300000000000004</v>
      </c>
      <c r="K71">
        <v>26.6</v>
      </c>
      <c r="L71">
        <v>78.7</v>
      </c>
      <c r="M71" s="27" t="s">
        <v>457</v>
      </c>
      <c r="N71" s="27" t="s">
        <v>237</v>
      </c>
      <c r="O71" s="52">
        <v>0</v>
      </c>
      <c r="P71" s="27" t="str">
        <f t="shared" si="6"/>
        <v>RA9</v>
      </c>
      <c r="Q71" s="26">
        <f t="shared" si="11"/>
        <v>4</v>
      </c>
      <c r="R71" s="26">
        <f t="shared" si="12"/>
        <v>4</v>
      </c>
      <c r="S71" s="26">
        <f t="shared" si="13"/>
        <v>4</v>
      </c>
      <c r="T71" s="26">
        <f t="shared" si="4"/>
        <v>4</v>
      </c>
      <c r="U71" s="46">
        <f>IF('AAA Summary'!$L$35=4, RANK(H71,H$8:H$82,1)+COUNTIF($H$8:H71,H71)-1, IF('AAA Summary'!$L$35=3, RANK(G71,G$8:G$82,1)+COUNTIF($G$8:G71,G71)-1, IF('AAA Summary'!$L$35=2, RANK(F71,F$8:F$82,1)+COUNTIF($F$8:F71,F71)-1, IF('AAA Summary'!$L$35=1, RANK(E71,E$8:E$82,1)+COUNTIF($E$8:E71,E71)-1))))</f>
        <v>71</v>
      </c>
      <c r="V71" s="34">
        <f>IF('AAA Summary'!$L$35=4, H71, IF('AAA Summary'!$L$35=3, G71, IF('AAA Summary'!$L$35=2, F71, IF('AAA Summary'!$L$35=1, E71))))</f>
        <v>1</v>
      </c>
      <c r="W71" s="11">
        <f t="shared" si="7"/>
        <v>26.700000000000003</v>
      </c>
      <c r="X71" s="11">
        <f t="shared" si="8"/>
        <v>25.4</v>
      </c>
      <c r="Y71" s="11">
        <v>80</v>
      </c>
      <c r="Z71" s="11">
        <v>54</v>
      </c>
      <c r="AA71" s="11">
        <v>28</v>
      </c>
      <c r="AB71" s="11">
        <v>65</v>
      </c>
      <c r="AC71" s="11">
        <f t="shared" si="10"/>
        <v>26</v>
      </c>
      <c r="AD71" s="11">
        <f t="shared" si="9"/>
        <v>11</v>
      </c>
      <c r="AE71" s="11">
        <v>56</v>
      </c>
      <c r="AF71">
        <v>20</v>
      </c>
      <c r="AG71" s="46" t="b">
        <f>IF('AAA Summary'!$L$4=2, J71, IF('AAA Summary'!$L$4=1, Z71))</f>
        <v>0</v>
      </c>
      <c r="AH71" s="46" t="b">
        <f>IF('AAA Summary'!$L$4=2, W71, IF('AAA Summary'!$L$4=1, AC71))</f>
        <v>0</v>
      </c>
      <c r="AI71" s="46" t="b">
        <f>IF('AAA Summary'!$L$4=2, X71, IF('AAA Summary'!$L$4=1, AD71))</f>
        <v>0</v>
      </c>
      <c r="AJ71" s="46" t="b">
        <f>IF('AAA Summary'!$L$4=2, Y71, IF('AAA Summary'!$L$4=1, AE71))</f>
        <v>0</v>
      </c>
      <c r="AK71" s="8">
        <v>0.53300000000000003</v>
      </c>
    </row>
    <row r="72" spans="1:37" x14ac:dyDescent="0.25">
      <c r="A72" t="s">
        <v>107</v>
      </c>
      <c r="B72" t="s">
        <v>108</v>
      </c>
      <c r="C72" s="50">
        <v>43</v>
      </c>
      <c r="D72" s="50">
        <v>16</v>
      </c>
      <c r="E72" s="51">
        <v>0.98</v>
      </c>
      <c r="F72" s="51">
        <v>0.98</v>
      </c>
      <c r="G72" s="51">
        <v>0.98</v>
      </c>
      <c r="H72" s="51">
        <v>1</v>
      </c>
      <c r="I72" s="27" t="s">
        <v>458</v>
      </c>
      <c r="J72">
        <v>42.9</v>
      </c>
      <c r="K72">
        <v>27.700000000000003</v>
      </c>
      <c r="L72">
        <v>59</v>
      </c>
      <c r="M72" s="27" t="s">
        <v>278</v>
      </c>
      <c r="N72" s="27" t="s">
        <v>241</v>
      </c>
      <c r="O72" s="52">
        <v>3.2000000000000001E-2</v>
      </c>
      <c r="P72" s="27" t="str">
        <f t="shared" si="6"/>
        <v>RWD</v>
      </c>
      <c r="Q72" s="26">
        <f t="shared" ref="Q72:Q82" si="14">+IF(E72&lt;E$2,1,IF(E72&lt;E$3,2,IF(E72&lt;E$4,3,4)))</f>
        <v>4</v>
      </c>
      <c r="R72" s="26">
        <f t="shared" ref="R72:R82" si="15">+IF(F72&lt;F$2,1,IF(F72&lt;F$3,2,IF(F72&lt;F$4,3,4)))</f>
        <v>2</v>
      </c>
      <c r="S72" s="26">
        <f t="shared" ref="S72:S82" si="16">+IF(G72&lt;G$2,1,IF(G72&lt;G$3,2,IF(G72&lt;G$4,3,4)))</f>
        <v>3</v>
      </c>
      <c r="T72" s="26">
        <f t="shared" ref="T72:T82" si="17">+IF(H72&lt;H$2,1,IF(H72&lt;H$3,2,IF(H72&lt;H$4,3,4)))</f>
        <v>4</v>
      </c>
      <c r="U72" s="46">
        <f>IF('AAA Summary'!$L$35=4, RANK(H72,H$8:H$82,1)+COUNTIF($H$8:H72,H72)-1, IF('AAA Summary'!$L$35=3, RANK(G72,G$8:G$82,1)+COUNTIF($G$8:G72,G72)-1, IF('AAA Summary'!$L$35=2, RANK(F72,F$8:F$82,1)+COUNTIF($F$8:F72,F72)-1, IF('AAA Summary'!$L$35=1, RANK(E72,E$8:E$82,1)+COUNTIF($E$8:E72,E72)-1))))</f>
        <v>60</v>
      </c>
      <c r="V72" s="34">
        <f>IF('AAA Summary'!$L$35=4, H72, IF('AAA Summary'!$L$35=3, G72, IF('AAA Summary'!$L$35=2, F72, IF('AAA Summary'!$L$35=1, E72))))</f>
        <v>0.98</v>
      </c>
      <c r="W72" s="11">
        <f t="shared" si="7"/>
        <v>15.199999999999996</v>
      </c>
      <c r="X72" s="11">
        <f t="shared" si="8"/>
        <v>16.100000000000001</v>
      </c>
      <c r="Y72" s="11">
        <v>80</v>
      </c>
      <c r="Z72" s="11">
        <v>62</v>
      </c>
      <c r="AA72" s="11">
        <v>36</v>
      </c>
      <c r="AB72" s="11">
        <v>89</v>
      </c>
      <c r="AC72" s="11">
        <f t="shared" si="10"/>
        <v>26</v>
      </c>
      <c r="AD72" s="11">
        <f t="shared" si="9"/>
        <v>27</v>
      </c>
      <c r="AE72" s="11">
        <v>56</v>
      </c>
      <c r="AF72">
        <v>31</v>
      </c>
      <c r="AG72" s="46" t="b">
        <f>IF('AAA Summary'!$L$4=2, J72, IF('AAA Summary'!$L$4=1, Z72))</f>
        <v>0</v>
      </c>
      <c r="AH72" s="46" t="b">
        <f>IF('AAA Summary'!$L$4=2, W72, IF('AAA Summary'!$L$4=1, AC72))</f>
        <v>0</v>
      </c>
      <c r="AI72" s="46" t="b">
        <f>IF('AAA Summary'!$L$4=2, X72, IF('AAA Summary'!$L$4=1, AD72))</f>
        <v>0</v>
      </c>
      <c r="AJ72" s="46" t="b">
        <f>IF('AAA Summary'!$L$4=2, Y72, IF('AAA Summary'!$L$4=1, AE72))</f>
        <v>0</v>
      </c>
      <c r="AK72" s="8">
        <v>0.42899999999999999</v>
      </c>
    </row>
    <row r="73" spans="1:37" x14ac:dyDescent="0.25">
      <c r="A73" t="s">
        <v>54</v>
      </c>
      <c r="B73" t="s">
        <v>55</v>
      </c>
      <c r="C73" s="50">
        <v>102</v>
      </c>
      <c r="D73" s="50">
        <v>49</v>
      </c>
      <c r="E73" s="51">
        <v>0.94</v>
      </c>
      <c r="F73" s="51">
        <v>1</v>
      </c>
      <c r="G73" s="51">
        <v>0.95</v>
      </c>
      <c r="H73" s="51">
        <v>0.95</v>
      </c>
      <c r="I73" s="27" t="s">
        <v>459</v>
      </c>
      <c r="J73">
        <v>38.5</v>
      </c>
      <c r="K73">
        <v>28.799999999999997</v>
      </c>
      <c r="L73">
        <v>49</v>
      </c>
      <c r="M73" s="27" t="s">
        <v>332</v>
      </c>
      <c r="N73" s="27" t="s">
        <v>235</v>
      </c>
      <c r="O73" s="52">
        <v>1.8000000000000002E-2</v>
      </c>
      <c r="P73" s="27" t="str">
        <f t="shared" ref="P73:P82" si="18">A73</f>
        <v>RJE</v>
      </c>
      <c r="Q73" s="26">
        <f t="shared" si="14"/>
        <v>3</v>
      </c>
      <c r="R73" s="26">
        <f t="shared" si="15"/>
        <v>4</v>
      </c>
      <c r="S73" s="26">
        <f t="shared" si="16"/>
        <v>3</v>
      </c>
      <c r="T73" s="26">
        <f t="shared" si="17"/>
        <v>3</v>
      </c>
      <c r="U73" s="46">
        <f>IF('AAA Summary'!$L$35=4, RANK(H73,H$8:H$82,1)+COUNTIF($H$8:H73,H73)-1, IF('AAA Summary'!$L$35=3, RANK(G73,G$8:G$82,1)+COUNTIF($G$8:G73,G73)-1, IF('AAA Summary'!$L$35=2, RANK(F73,F$8:F$82,1)+COUNTIF($F$8:F73,F73)-1, IF('AAA Summary'!$L$35=1, RANK(E73,E$8:E$82,1)+COUNTIF($E$8:E73,E73)-1))))</f>
        <v>38</v>
      </c>
      <c r="V73" s="34">
        <f>IF('AAA Summary'!$L$35=4, H73, IF('AAA Summary'!$L$35=3, G73, IF('AAA Summary'!$L$35=2, F73, IF('AAA Summary'!$L$35=1, E73))))</f>
        <v>0.94</v>
      </c>
      <c r="W73" s="11">
        <f t="shared" ref="W73:W82" si="19">J73-K73</f>
        <v>9.7000000000000028</v>
      </c>
      <c r="X73" s="11">
        <f t="shared" ref="X73:X82" si="20">L73-J73</f>
        <v>10.5</v>
      </c>
      <c r="Y73" s="11">
        <v>80</v>
      </c>
      <c r="Z73" s="11">
        <v>73</v>
      </c>
      <c r="AA73" s="11">
        <v>37</v>
      </c>
      <c r="AB73" s="11">
        <v>115</v>
      </c>
      <c r="AC73" s="11">
        <f t="shared" si="10"/>
        <v>36</v>
      </c>
      <c r="AD73" s="11">
        <f t="shared" ref="AD73:AD82" si="21">AB73-Z73</f>
        <v>42</v>
      </c>
      <c r="AE73" s="11">
        <v>56</v>
      </c>
      <c r="AF73">
        <v>42</v>
      </c>
      <c r="AG73" s="46" t="b">
        <f>IF('AAA Summary'!$L$4=2, J73, IF('AAA Summary'!$L$4=1, Z73))</f>
        <v>0</v>
      </c>
      <c r="AH73" s="46" t="b">
        <f>IF('AAA Summary'!$L$4=2, W73, IF('AAA Summary'!$L$4=1, AC73))</f>
        <v>0</v>
      </c>
      <c r="AI73" s="46" t="b">
        <f>IF('AAA Summary'!$L$4=2, X73, IF('AAA Summary'!$L$4=1, AD73))</f>
        <v>0</v>
      </c>
      <c r="AJ73" s="46" t="b">
        <f>IF('AAA Summary'!$L$4=2, Y73, IF('AAA Summary'!$L$4=1, AE73))</f>
        <v>0</v>
      </c>
      <c r="AK73" s="8">
        <v>0.38500000000000001</v>
      </c>
    </row>
    <row r="74" spans="1:37" x14ac:dyDescent="0.25">
      <c r="A74" t="s">
        <v>44</v>
      </c>
      <c r="B74" t="s">
        <v>45</v>
      </c>
      <c r="C74" s="50">
        <v>77</v>
      </c>
      <c r="D74" s="50">
        <v>33</v>
      </c>
      <c r="E74" s="51">
        <v>0.86</v>
      </c>
      <c r="F74" s="51">
        <v>0.99</v>
      </c>
      <c r="G74" s="51">
        <v>0.85</v>
      </c>
      <c r="H74" s="51">
        <v>0.87</v>
      </c>
      <c r="I74" s="27" t="s">
        <v>460</v>
      </c>
      <c r="J74">
        <v>48.5</v>
      </c>
      <c r="K74">
        <v>36</v>
      </c>
      <c r="L74">
        <v>61.1</v>
      </c>
      <c r="M74" s="27" t="s">
        <v>461</v>
      </c>
      <c r="N74" s="27" t="s">
        <v>194</v>
      </c>
      <c r="O74" s="52">
        <v>1.1000000000000001E-2</v>
      </c>
      <c r="P74" s="27" t="str">
        <f t="shared" si="18"/>
        <v>RHM</v>
      </c>
      <c r="Q74" s="26">
        <f t="shared" si="14"/>
        <v>1</v>
      </c>
      <c r="R74" s="26">
        <f t="shared" si="15"/>
        <v>3</v>
      </c>
      <c r="S74" s="26">
        <f t="shared" si="16"/>
        <v>1</v>
      </c>
      <c r="T74" s="26">
        <f t="shared" si="17"/>
        <v>2</v>
      </c>
      <c r="U74" s="46">
        <f>IF('AAA Summary'!$L$35=4, RANK(H74,H$8:H$82,1)+COUNTIF($H$8:H74,H74)-1, IF('AAA Summary'!$L$35=3, RANK(G74,G$8:G$82,1)+COUNTIF($G$8:G74,G74)-1, IF('AAA Summary'!$L$35=2, RANK(F74,F$8:F$82,1)+COUNTIF($F$8:F74,F74)-1, IF('AAA Summary'!$L$35=1, RANK(E74,E$8:E$82,1)+COUNTIF($E$8:E74,E74)-1))))</f>
        <v>16</v>
      </c>
      <c r="V74" s="34">
        <f>IF('AAA Summary'!$L$35=4, H74, IF('AAA Summary'!$L$35=3, G74, IF('AAA Summary'!$L$35=2, F74, IF('AAA Summary'!$L$35=1, E74))))</f>
        <v>0.86</v>
      </c>
      <c r="W74" s="11">
        <f t="shared" si="19"/>
        <v>12.5</v>
      </c>
      <c r="X74" s="11">
        <f t="shared" si="20"/>
        <v>12.600000000000001</v>
      </c>
      <c r="Y74" s="11">
        <v>80</v>
      </c>
      <c r="Z74" s="11">
        <v>60</v>
      </c>
      <c r="AA74" s="11">
        <v>35</v>
      </c>
      <c r="AB74" s="11">
        <v>103</v>
      </c>
      <c r="AC74" s="11">
        <f t="shared" si="10"/>
        <v>25</v>
      </c>
      <c r="AD74" s="11">
        <f t="shared" si="21"/>
        <v>43</v>
      </c>
      <c r="AE74" s="11">
        <v>56</v>
      </c>
      <c r="AF74">
        <v>28</v>
      </c>
      <c r="AG74" s="46" t="b">
        <f>IF('AAA Summary'!$L$4=2, J74, IF('AAA Summary'!$L$4=1, Z74))</f>
        <v>0</v>
      </c>
      <c r="AH74" s="46" t="b">
        <f>IF('AAA Summary'!$L$4=2, W74, IF('AAA Summary'!$L$4=1, AC74))</f>
        <v>0</v>
      </c>
      <c r="AI74" s="46" t="b">
        <f>IF('AAA Summary'!$L$4=2, X74, IF('AAA Summary'!$L$4=1, AD74))</f>
        <v>0</v>
      </c>
      <c r="AJ74" s="46" t="b">
        <f>IF('AAA Summary'!$L$4=2, Y74, IF('AAA Summary'!$L$4=1, AE74))</f>
        <v>0</v>
      </c>
      <c r="AK74" s="8">
        <v>0.48499999999999999</v>
      </c>
    </row>
    <row r="75" spans="1:37" x14ac:dyDescent="0.25">
      <c r="A75" t="s">
        <v>85</v>
      </c>
      <c r="B75" t="s">
        <v>86</v>
      </c>
      <c r="C75" s="50">
        <v>75</v>
      </c>
      <c r="D75" s="50">
        <v>66</v>
      </c>
      <c r="E75" s="51">
        <v>0.93</v>
      </c>
      <c r="F75" s="51">
        <v>0.99</v>
      </c>
      <c r="G75" s="51">
        <v>0.94</v>
      </c>
      <c r="H75" s="51">
        <v>0.93</v>
      </c>
      <c r="I75" s="27" t="s">
        <v>462</v>
      </c>
      <c r="J75">
        <v>45.7</v>
      </c>
      <c r="K75">
        <v>33.700000000000003</v>
      </c>
      <c r="L75">
        <v>58.099999999999994</v>
      </c>
      <c r="M75" s="27" t="s">
        <v>257</v>
      </c>
      <c r="N75" s="27" t="s">
        <v>237</v>
      </c>
      <c r="O75" s="52">
        <v>2.3E-2</v>
      </c>
      <c r="P75" s="27" t="str">
        <f t="shared" si="18"/>
        <v>RRK</v>
      </c>
      <c r="Q75" s="26">
        <f t="shared" si="14"/>
        <v>2</v>
      </c>
      <c r="R75" s="26">
        <f t="shared" si="15"/>
        <v>3</v>
      </c>
      <c r="S75" s="26">
        <f t="shared" si="16"/>
        <v>2</v>
      </c>
      <c r="T75" s="26">
        <f t="shared" si="17"/>
        <v>3</v>
      </c>
      <c r="U75" s="46">
        <f>IF('AAA Summary'!$L$35=4, RANK(H75,H$8:H$82,1)+COUNTIF($H$8:H75,H75)-1, IF('AAA Summary'!$L$35=3, RANK(G75,G$8:G$82,1)+COUNTIF($G$8:G75,G75)-1, IF('AAA Summary'!$L$35=2, RANK(F75,F$8:F$82,1)+COUNTIF($F$8:F75,F75)-1, IF('AAA Summary'!$L$35=1, RANK(E75,E$8:E$82,1)+COUNTIF($E$8:E75,E75)-1))))</f>
        <v>34</v>
      </c>
      <c r="V75" s="34">
        <f>IF('AAA Summary'!$L$35=4, H75, IF('AAA Summary'!$L$35=3, G75, IF('AAA Summary'!$L$35=2, F75, IF('AAA Summary'!$L$35=1, E75))))</f>
        <v>0.93</v>
      </c>
      <c r="W75" s="11">
        <f t="shared" si="19"/>
        <v>12</v>
      </c>
      <c r="X75" s="11">
        <f t="shared" si="20"/>
        <v>12.399999999999991</v>
      </c>
      <c r="Y75" s="11">
        <v>80</v>
      </c>
      <c r="Z75" s="11">
        <v>62</v>
      </c>
      <c r="AA75" s="11">
        <v>34</v>
      </c>
      <c r="AB75" s="11">
        <v>120</v>
      </c>
      <c r="AC75" s="11">
        <f t="shared" si="10"/>
        <v>28</v>
      </c>
      <c r="AD75" s="11">
        <f t="shared" si="21"/>
        <v>58</v>
      </c>
      <c r="AE75" s="11">
        <v>56</v>
      </c>
      <c r="AF75">
        <v>30</v>
      </c>
      <c r="AG75" s="46" t="b">
        <f>IF('AAA Summary'!$L$4=2, J75, IF('AAA Summary'!$L$4=1, Z75))</f>
        <v>0</v>
      </c>
      <c r="AH75" s="46" t="b">
        <f>IF('AAA Summary'!$L$4=2, W75, IF('AAA Summary'!$L$4=1, AC75))</f>
        <v>0</v>
      </c>
      <c r="AI75" s="46" t="b">
        <f>IF('AAA Summary'!$L$4=2, X75, IF('AAA Summary'!$L$4=1, AD75))</f>
        <v>0</v>
      </c>
      <c r="AJ75" s="46" t="b">
        <f>IF('AAA Summary'!$L$4=2, Y75, IF('AAA Summary'!$L$4=1, AE75))</f>
        <v>0</v>
      </c>
      <c r="AK75" s="8">
        <v>0.45700000000000002</v>
      </c>
    </row>
    <row r="76" spans="1:37" x14ac:dyDescent="0.25">
      <c r="A76" t="s">
        <v>61</v>
      </c>
      <c r="B76" t="s">
        <v>62</v>
      </c>
      <c r="C76" s="50">
        <v>40</v>
      </c>
      <c r="D76" s="50">
        <v>27</v>
      </c>
      <c r="E76" s="51">
        <v>0.88</v>
      </c>
      <c r="F76" s="51">
        <v>0.98</v>
      </c>
      <c r="G76" s="51">
        <v>0.87</v>
      </c>
      <c r="H76" s="51">
        <v>0.93</v>
      </c>
      <c r="I76" s="27" t="s">
        <v>463</v>
      </c>
      <c r="J76">
        <v>34.300000000000004</v>
      </c>
      <c r="K76">
        <v>19.100000000000001</v>
      </c>
      <c r="L76">
        <v>52.2</v>
      </c>
      <c r="M76" s="27" t="s">
        <v>332</v>
      </c>
      <c r="N76" s="27" t="s">
        <v>183</v>
      </c>
      <c r="O76" s="52">
        <v>2.7999999999999997E-2</v>
      </c>
      <c r="P76" s="27" t="str">
        <f t="shared" si="18"/>
        <v>RKB</v>
      </c>
      <c r="Q76" s="26">
        <f t="shared" si="14"/>
        <v>2</v>
      </c>
      <c r="R76" s="26">
        <f t="shared" si="15"/>
        <v>2</v>
      </c>
      <c r="S76" s="26">
        <f t="shared" si="16"/>
        <v>1</v>
      </c>
      <c r="T76" s="26">
        <f t="shared" si="17"/>
        <v>3</v>
      </c>
      <c r="U76" s="46">
        <f>IF('AAA Summary'!$L$35=4, RANK(H76,H$8:H$82,1)+COUNTIF($H$8:H76,H76)-1, IF('AAA Summary'!$L$35=3, RANK(G76,G$8:G$82,1)+COUNTIF($G$8:G76,G76)-1, IF('AAA Summary'!$L$35=2, RANK(F76,F$8:F$82,1)+COUNTIF($F$8:F76,F76)-1, IF('AAA Summary'!$L$35=1, RANK(E76,E$8:E$82,1)+COUNTIF($E$8:E76,E76)-1))))</f>
        <v>22</v>
      </c>
      <c r="V76" s="34">
        <f>IF('AAA Summary'!$L$35=4, H76, IF('AAA Summary'!$L$35=3, G76, IF('AAA Summary'!$L$35=2, F76, IF('AAA Summary'!$L$35=1, E76))))</f>
        <v>0.88</v>
      </c>
      <c r="W76" s="11">
        <f t="shared" si="19"/>
        <v>15.200000000000003</v>
      </c>
      <c r="X76" s="11">
        <f t="shared" si="20"/>
        <v>17.899999999999999</v>
      </c>
      <c r="Y76" s="11">
        <v>80</v>
      </c>
      <c r="Z76" s="11">
        <v>75</v>
      </c>
      <c r="AA76" s="11">
        <v>48</v>
      </c>
      <c r="AB76" s="11">
        <v>99</v>
      </c>
      <c r="AC76" s="11">
        <f t="shared" si="10"/>
        <v>27</v>
      </c>
      <c r="AD76" s="11">
        <f t="shared" si="21"/>
        <v>24</v>
      </c>
      <c r="AE76" s="11">
        <v>56</v>
      </c>
      <c r="AF76">
        <v>48</v>
      </c>
      <c r="AG76" s="46" t="b">
        <f>IF('AAA Summary'!$L$4=2, J76, IF('AAA Summary'!$L$4=1, Z76))</f>
        <v>0</v>
      </c>
      <c r="AH76" s="46" t="b">
        <f>IF('AAA Summary'!$L$4=2, W76, IF('AAA Summary'!$L$4=1, AC76))</f>
        <v>0</v>
      </c>
      <c r="AI76" s="46" t="b">
        <f>IF('AAA Summary'!$L$4=2, X76, IF('AAA Summary'!$L$4=1, AD76))</f>
        <v>0</v>
      </c>
      <c r="AJ76" s="46" t="b">
        <f>IF('AAA Summary'!$L$4=2, Y76, IF('AAA Summary'!$L$4=1, AE76))</f>
        <v>0</v>
      </c>
      <c r="AK76" s="8">
        <v>0.34300000000000003</v>
      </c>
    </row>
    <row r="77" spans="1:37" x14ac:dyDescent="0.25">
      <c r="A77" t="s">
        <v>95</v>
      </c>
      <c r="B77" t="s">
        <v>285</v>
      </c>
      <c r="C77" s="50">
        <v>49</v>
      </c>
      <c r="D77" s="50">
        <v>36</v>
      </c>
      <c r="E77" s="51">
        <v>1</v>
      </c>
      <c r="F77" s="51">
        <v>1</v>
      </c>
      <c r="G77" s="51">
        <v>1</v>
      </c>
      <c r="H77" s="51">
        <v>1</v>
      </c>
      <c r="I77" s="27" t="s">
        <v>464</v>
      </c>
      <c r="J77">
        <v>46.9</v>
      </c>
      <c r="K77">
        <v>32.5</v>
      </c>
      <c r="L77">
        <v>61.7</v>
      </c>
      <c r="M77" s="27" t="s">
        <v>172</v>
      </c>
      <c r="N77" s="27" t="s">
        <v>188</v>
      </c>
      <c r="O77" s="52">
        <v>1.9E-2</v>
      </c>
      <c r="P77" s="27" t="str">
        <f t="shared" si="18"/>
        <v>RTG</v>
      </c>
      <c r="Q77" s="26">
        <f t="shared" si="14"/>
        <v>4</v>
      </c>
      <c r="R77" s="26">
        <f t="shared" si="15"/>
        <v>4</v>
      </c>
      <c r="S77" s="26">
        <f t="shared" si="16"/>
        <v>4</v>
      </c>
      <c r="T77" s="26">
        <f t="shared" si="17"/>
        <v>4</v>
      </c>
      <c r="U77" s="46">
        <f>IF('AAA Summary'!$L$35=4, RANK(H77,H$8:H$82,1)+COUNTIF($H$8:H77,H77)-1, IF('AAA Summary'!$L$35=3, RANK(G77,G$8:G$82,1)+COUNTIF($G$8:G77,G77)-1, IF('AAA Summary'!$L$35=2, RANK(F77,F$8:F$82,1)+COUNTIF($F$8:F77,F77)-1, IF('AAA Summary'!$L$35=1, RANK(E77,E$8:E$82,1)+COUNTIF($E$8:E77,E77)-1))))</f>
        <v>72</v>
      </c>
      <c r="V77" s="34">
        <f>IF('AAA Summary'!$L$35=4, H77, IF('AAA Summary'!$L$35=3, G77, IF('AAA Summary'!$L$35=2, F77, IF('AAA Summary'!$L$35=1, E77))))</f>
        <v>1</v>
      </c>
      <c r="W77" s="11">
        <f t="shared" si="19"/>
        <v>14.399999999999999</v>
      </c>
      <c r="X77" s="11">
        <f t="shared" si="20"/>
        <v>14.800000000000004</v>
      </c>
      <c r="Y77" s="11">
        <v>80</v>
      </c>
      <c r="Z77" s="11">
        <v>62</v>
      </c>
      <c r="AA77" s="11">
        <v>30</v>
      </c>
      <c r="AB77" s="11">
        <v>85</v>
      </c>
      <c r="AC77" s="11">
        <f t="shared" si="10"/>
        <v>32</v>
      </c>
      <c r="AD77" s="11">
        <f t="shared" si="21"/>
        <v>23</v>
      </c>
      <c r="AE77" s="11">
        <v>56</v>
      </c>
      <c r="AF77">
        <v>29</v>
      </c>
      <c r="AG77" s="46" t="b">
        <f>IF('AAA Summary'!$L$4=2, J77, IF('AAA Summary'!$L$4=1, Z77))</f>
        <v>0</v>
      </c>
      <c r="AH77" s="46" t="b">
        <f>IF('AAA Summary'!$L$4=2, W77, IF('AAA Summary'!$L$4=1, AC77))</f>
        <v>0</v>
      </c>
      <c r="AI77" s="46" t="b">
        <f>IF('AAA Summary'!$L$4=2, X77, IF('AAA Summary'!$L$4=1, AD77))</f>
        <v>0</v>
      </c>
      <c r="AJ77" s="46" t="b">
        <f>IF('AAA Summary'!$L$4=2, Y77, IF('AAA Summary'!$L$4=1, AE77))</f>
        <v>0</v>
      </c>
      <c r="AK77" s="8">
        <v>0.46899999999999997</v>
      </c>
    </row>
    <row r="78" spans="1:37" x14ac:dyDescent="0.25">
      <c r="A78" t="s">
        <v>109</v>
      </c>
      <c r="B78" t="s">
        <v>110</v>
      </c>
      <c r="C78" s="50">
        <v>51</v>
      </c>
      <c r="D78" s="50">
        <v>26</v>
      </c>
      <c r="E78" s="51">
        <v>0.75</v>
      </c>
      <c r="F78" s="51">
        <v>1</v>
      </c>
      <c r="G78" s="51">
        <v>0.82</v>
      </c>
      <c r="H78" s="51">
        <v>0.24</v>
      </c>
      <c r="I78" s="27" t="s">
        <v>465</v>
      </c>
      <c r="J78">
        <v>73.7</v>
      </c>
      <c r="K78">
        <v>56.899999999999991</v>
      </c>
      <c r="L78">
        <v>86.6</v>
      </c>
      <c r="M78" s="27" t="s">
        <v>260</v>
      </c>
      <c r="N78" s="27" t="s">
        <v>189</v>
      </c>
      <c r="O78" s="52">
        <v>6.0000000000000001E-3</v>
      </c>
      <c r="P78" s="27" t="str">
        <f t="shared" si="18"/>
        <v>RWE</v>
      </c>
      <c r="Q78" s="26">
        <f t="shared" si="14"/>
        <v>1</v>
      </c>
      <c r="R78" s="26">
        <f t="shared" si="15"/>
        <v>4</v>
      </c>
      <c r="S78" s="26">
        <f t="shared" si="16"/>
        <v>1</v>
      </c>
      <c r="T78" s="26">
        <f t="shared" si="17"/>
        <v>1</v>
      </c>
      <c r="U78" s="46">
        <f>IF('AAA Summary'!$L$35=4, RANK(H78,H$8:H$82,1)+COUNTIF($H$8:H78,H78)-1, IF('AAA Summary'!$L$35=3, RANK(G78,G$8:G$82,1)+COUNTIF($G$8:G78,G78)-1, IF('AAA Summary'!$L$35=2, RANK(F78,F$8:F$82,1)+COUNTIF($F$8:F78,F78)-1, IF('AAA Summary'!$L$35=1, RANK(E78,E$8:E$82,1)+COUNTIF($E$8:E78,E78)-1))))</f>
        <v>8</v>
      </c>
      <c r="V78" s="34">
        <f>IF('AAA Summary'!$L$35=4, H78, IF('AAA Summary'!$L$35=3, G78, IF('AAA Summary'!$L$35=2, F78, IF('AAA Summary'!$L$35=1, E78))))</f>
        <v>0.75</v>
      </c>
      <c r="W78" s="11">
        <f t="shared" si="19"/>
        <v>16.800000000000011</v>
      </c>
      <c r="X78" s="11">
        <f t="shared" si="20"/>
        <v>12.899999999999991</v>
      </c>
      <c r="Y78" s="11">
        <v>80</v>
      </c>
      <c r="Z78" s="11">
        <v>42</v>
      </c>
      <c r="AA78" s="11">
        <v>27</v>
      </c>
      <c r="AB78" s="11">
        <v>60</v>
      </c>
      <c r="AC78" s="11">
        <f t="shared" si="10"/>
        <v>15</v>
      </c>
      <c r="AD78" s="11">
        <f t="shared" si="21"/>
        <v>18</v>
      </c>
      <c r="AE78" s="11">
        <v>56</v>
      </c>
      <c r="AF78">
        <v>5</v>
      </c>
      <c r="AG78" s="46" t="b">
        <f>IF('AAA Summary'!$L$4=2, J78, IF('AAA Summary'!$L$4=1, Z78))</f>
        <v>0</v>
      </c>
      <c r="AH78" s="46" t="b">
        <f>IF('AAA Summary'!$L$4=2, W78, IF('AAA Summary'!$L$4=1, AC78))</f>
        <v>0</v>
      </c>
      <c r="AI78" s="46" t="b">
        <f>IF('AAA Summary'!$L$4=2, X78, IF('AAA Summary'!$L$4=1, AD78))</f>
        <v>0</v>
      </c>
      <c r="AJ78" s="46" t="b">
        <f>IF('AAA Summary'!$L$4=2, Y78, IF('AAA Summary'!$L$4=1, AE78))</f>
        <v>0</v>
      </c>
      <c r="AK78" s="8">
        <v>0.73699999999999999</v>
      </c>
    </row>
    <row r="79" spans="1:37" x14ac:dyDescent="0.25">
      <c r="A79" t="s">
        <v>60</v>
      </c>
      <c r="B79" t="s">
        <v>169</v>
      </c>
      <c r="C79" s="50">
        <v>43</v>
      </c>
      <c r="D79" s="50">
        <v>24</v>
      </c>
      <c r="E79" s="51">
        <v>1</v>
      </c>
      <c r="F79" s="51">
        <v>0.98</v>
      </c>
      <c r="G79" s="51">
        <v>1</v>
      </c>
      <c r="H79" s="51">
        <v>1</v>
      </c>
      <c r="I79" s="27" t="s">
        <v>466</v>
      </c>
      <c r="J79">
        <v>34.9</v>
      </c>
      <c r="K79">
        <v>21</v>
      </c>
      <c r="L79">
        <v>50.9</v>
      </c>
      <c r="M79" s="27" t="s">
        <v>263</v>
      </c>
      <c r="N79" s="27" t="s">
        <v>235</v>
      </c>
      <c r="O79" s="52">
        <v>1.9E-2</v>
      </c>
      <c r="P79" s="27" t="str">
        <f t="shared" si="18"/>
        <v>RK9</v>
      </c>
      <c r="Q79" s="26">
        <f t="shared" si="14"/>
        <v>4</v>
      </c>
      <c r="R79" s="26">
        <f t="shared" si="15"/>
        <v>2</v>
      </c>
      <c r="S79" s="26">
        <f t="shared" si="16"/>
        <v>4</v>
      </c>
      <c r="T79" s="26">
        <f t="shared" si="17"/>
        <v>4</v>
      </c>
      <c r="U79" s="46">
        <f>IF('AAA Summary'!$L$35=4, RANK(H79,H$8:H$82,1)+COUNTIF($H$8:H79,H79)-1, IF('AAA Summary'!$L$35=3, RANK(G79,G$8:G$82,1)+COUNTIF($G$8:G79,G79)-1, IF('AAA Summary'!$L$35=2, RANK(F79,F$8:F$82,1)+COUNTIF($F$8:F79,F79)-1, IF('AAA Summary'!$L$35=1, RANK(E79,E$8:E$82,1)+COUNTIF($E$8:E79,E79)-1))))</f>
        <v>73</v>
      </c>
      <c r="V79" s="34">
        <f>IF('AAA Summary'!$L$35=4, H79, IF('AAA Summary'!$L$35=3, G79, IF('AAA Summary'!$L$35=2, F79, IF('AAA Summary'!$L$35=1, E79))))</f>
        <v>1</v>
      </c>
      <c r="W79" s="11">
        <f t="shared" si="19"/>
        <v>13.899999999999999</v>
      </c>
      <c r="X79" s="11">
        <f t="shared" si="20"/>
        <v>16</v>
      </c>
      <c r="Y79" s="11">
        <v>80</v>
      </c>
      <c r="Z79" s="11">
        <v>90</v>
      </c>
      <c r="AA79" s="11">
        <v>41</v>
      </c>
      <c r="AB79" s="11">
        <v>135</v>
      </c>
      <c r="AC79" s="11">
        <f t="shared" si="10"/>
        <v>49</v>
      </c>
      <c r="AD79" s="11">
        <f t="shared" si="21"/>
        <v>45</v>
      </c>
      <c r="AE79" s="11">
        <v>56</v>
      </c>
      <c r="AF79">
        <v>63</v>
      </c>
      <c r="AG79" s="46" t="b">
        <f>IF('AAA Summary'!$L$4=2, J79, IF('AAA Summary'!$L$4=1, Z79))</f>
        <v>0</v>
      </c>
      <c r="AH79" s="46" t="b">
        <f>IF('AAA Summary'!$L$4=2, W79, IF('AAA Summary'!$L$4=1, AC79))</f>
        <v>0</v>
      </c>
      <c r="AI79" s="46" t="b">
        <f>IF('AAA Summary'!$L$4=2, X79, IF('AAA Summary'!$L$4=1, AD79))</f>
        <v>0</v>
      </c>
      <c r="AJ79" s="46" t="b">
        <f>IF('AAA Summary'!$L$4=2, Y79, IF('AAA Summary'!$L$4=1, AE79))</f>
        <v>0</v>
      </c>
      <c r="AK79" s="8">
        <v>0.34899999999999998</v>
      </c>
    </row>
    <row r="80" spans="1:37" x14ac:dyDescent="0.25">
      <c r="A80" t="s">
        <v>111</v>
      </c>
      <c r="B80" t="s">
        <v>112</v>
      </c>
      <c r="C80" s="50">
        <v>40</v>
      </c>
      <c r="D80" s="50">
        <v>34</v>
      </c>
      <c r="E80" s="51">
        <v>1</v>
      </c>
      <c r="F80" s="51">
        <v>0.95</v>
      </c>
      <c r="G80" s="51">
        <v>1</v>
      </c>
      <c r="H80" s="51">
        <v>0.88</v>
      </c>
      <c r="I80" s="27" t="s">
        <v>467</v>
      </c>
      <c r="J80">
        <v>60</v>
      </c>
      <c r="K80">
        <v>43.3</v>
      </c>
      <c r="L80">
        <v>75.099999999999994</v>
      </c>
      <c r="M80" s="27" t="s">
        <v>255</v>
      </c>
      <c r="N80" s="27" t="s">
        <v>235</v>
      </c>
      <c r="O80" s="52">
        <v>1.4999999999999999E-2</v>
      </c>
      <c r="P80" s="27" t="str">
        <f t="shared" si="18"/>
        <v>RWG</v>
      </c>
      <c r="Q80" s="26">
        <f t="shared" si="14"/>
        <v>4</v>
      </c>
      <c r="R80" s="26">
        <f t="shared" si="15"/>
        <v>1</v>
      </c>
      <c r="S80" s="26">
        <f t="shared" si="16"/>
        <v>4</v>
      </c>
      <c r="T80" s="26">
        <f t="shared" si="17"/>
        <v>2</v>
      </c>
      <c r="U80" s="46">
        <f>IF('AAA Summary'!$L$35=4, RANK(H80,H$8:H$82,1)+COUNTIF($H$8:H80,H80)-1, IF('AAA Summary'!$L$35=3, RANK(G80,G$8:G$82,1)+COUNTIF($G$8:G80,G80)-1, IF('AAA Summary'!$L$35=2, RANK(F80,F$8:F$82,1)+COUNTIF($F$8:F80,F80)-1, IF('AAA Summary'!$L$35=1, RANK(E80,E$8:E$82,1)+COUNTIF($E$8:E80,E80)-1))))</f>
        <v>74</v>
      </c>
      <c r="V80" s="34">
        <f>IF('AAA Summary'!$L$35=4, H80, IF('AAA Summary'!$L$35=3, G80, IF('AAA Summary'!$L$35=2, F80, IF('AAA Summary'!$L$35=1, E80))))</f>
        <v>1</v>
      </c>
      <c r="W80" s="11">
        <f t="shared" si="19"/>
        <v>16.700000000000003</v>
      </c>
      <c r="X80" s="11">
        <f t="shared" si="20"/>
        <v>15.099999999999994</v>
      </c>
      <c r="Y80" s="11">
        <v>80</v>
      </c>
      <c r="Z80" s="11">
        <v>47</v>
      </c>
      <c r="AA80" s="11">
        <v>30</v>
      </c>
      <c r="AB80" s="11">
        <v>78</v>
      </c>
      <c r="AC80" s="11">
        <f t="shared" si="10"/>
        <v>17</v>
      </c>
      <c r="AD80" s="11">
        <f t="shared" si="21"/>
        <v>31</v>
      </c>
      <c r="AE80" s="11">
        <v>56</v>
      </c>
      <c r="AF80">
        <v>12</v>
      </c>
      <c r="AG80" s="46" t="b">
        <f>IF('AAA Summary'!$L$4=2, J80, IF('AAA Summary'!$L$4=1, Z80))</f>
        <v>0</v>
      </c>
      <c r="AH80" s="46" t="b">
        <f>IF('AAA Summary'!$L$4=2, W80, IF('AAA Summary'!$L$4=1, AC80))</f>
        <v>0</v>
      </c>
      <c r="AI80" s="46" t="b">
        <f>IF('AAA Summary'!$L$4=2, X80, IF('AAA Summary'!$L$4=1, AD80))</f>
        <v>0</v>
      </c>
      <c r="AJ80" s="46" t="b">
        <f>IF('AAA Summary'!$L$4=2, Y80, IF('AAA Summary'!$L$4=1, AE80))</f>
        <v>0</v>
      </c>
      <c r="AK80" s="8">
        <v>0.6</v>
      </c>
    </row>
    <row r="81" spans="1:37" x14ac:dyDescent="0.25">
      <c r="A81" t="s">
        <v>115</v>
      </c>
      <c r="B81" t="s">
        <v>116</v>
      </c>
      <c r="C81" s="50">
        <v>68</v>
      </c>
      <c r="D81" s="50">
        <v>35</v>
      </c>
      <c r="E81" s="51">
        <v>1</v>
      </c>
      <c r="F81" s="51">
        <v>0.99</v>
      </c>
      <c r="G81" s="51">
        <v>1</v>
      </c>
      <c r="H81" s="51">
        <v>0.78</v>
      </c>
      <c r="I81" s="27" t="s">
        <v>468</v>
      </c>
      <c r="J81">
        <v>50</v>
      </c>
      <c r="K81">
        <v>37.6</v>
      </c>
      <c r="L81">
        <v>62.4</v>
      </c>
      <c r="M81" s="27" t="s">
        <v>330</v>
      </c>
      <c r="N81" s="27" t="s">
        <v>469</v>
      </c>
      <c r="O81" s="52">
        <v>0</v>
      </c>
      <c r="P81" s="27" t="str">
        <f t="shared" si="18"/>
        <v>RWP</v>
      </c>
      <c r="Q81" s="26">
        <f t="shared" si="14"/>
        <v>4</v>
      </c>
      <c r="R81" s="26">
        <f t="shared" si="15"/>
        <v>3</v>
      </c>
      <c r="S81" s="26">
        <f t="shared" si="16"/>
        <v>4</v>
      </c>
      <c r="T81" s="26">
        <f t="shared" si="17"/>
        <v>1</v>
      </c>
      <c r="U81" s="46">
        <f>IF('AAA Summary'!$L$35=4, RANK(H81,H$8:H$82,1)+COUNTIF($H$8:H81,H81)-1, IF('AAA Summary'!$L$35=3, RANK(G81,G$8:G$82,1)+COUNTIF($G$8:G81,G81)-1, IF('AAA Summary'!$L$35=2, RANK(F81,F$8:F$82,1)+COUNTIF($F$8:F81,F81)-1, IF('AAA Summary'!$L$35=1, RANK(E81,E$8:E$82,1)+COUNTIF($E$8:E81,E81)-1))))</f>
        <v>75</v>
      </c>
      <c r="V81" s="34">
        <f>IF('AAA Summary'!$L$35=4, H81, IF('AAA Summary'!$L$35=3, G81, IF('AAA Summary'!$L$35=2, F81, IF('AAA Summary'!$L$35=1, E81))))</f>
        <v>1</v>
      </c>
      <c r="W81" s="11">
        <f t="shared" si="19"/>
        <v>12.399999999999999</v>
      </c>
      <c r="X81" s="11">
        <f t="shared" si="20"/>
        <v>12.399999999999999</v>
      </c>
      <c r="Y81" s="11">
        <v>80</v>
      </c>
      <c r="Z81" s="11">
        <v>59</v>
      </c>
      <c r="AA81" s="11">
        <v>21</v>
      </c>
      <c r="AB81" s="11">
        <v>144</v>
      </c>
      <c r="AC81" s="11">
        <f t="shared" si="10"/>
        <v>38</v>
      </c>
      <c r="AD81" s="11">
        <f t="shared" si="21"/>
        <v>85</v>
      </c>
      <c r="AE81" s="11">
        <v>56</v>
      </c>
      <c r="AF81">
        <v>25</v>
      </c>
      <c r="AG81" s="46" t="b">
        <f>IF('AAA Summary'!$L$4=2, J81, IF('AAA Summary'!$L$4=1, Z81))</f>
        <v>0</v>
      </c>
      <c r="AH81" s="46" t="b">
        <f>IF('AAA Summary'!$L$4=2, W81, IF('AAA Summary'!$L$4=1, AC81))</f>
        <v>0</v>
      </c>
      <c r="AI81" s="46" t="b">
        <f>IF('AAA Summary'!$L$4=2, X81, IF('AAA Summary'!$L$4=1, AD81))</f>
        <v>0</v>
      </c>
      <c r="AJ81" s="46" t="b">
        <f>IF('AAA Summary'!$L$4=2, Y81, IF('AAA Summary'!$L$4=1, AE81))</f>
        <v>0</v>
      </c>
      <c r="AK81" s="8">
        <v>0.5</v>
      </c>
    </row>
    <row r="82" spans="1:37" x14ac:dyDescent="0.25">
      <c r="A82" t="s">
        <v>25</v>
      </c>
      <c r="B82" t="s">
        <v>26</v>
      </c>
      <c r="C82" s="50">
        <v>56</v>
      </c>
      <c r="D82" s="50">
        <v>20</v>
      </c>
      <c r="E82" s="51">
        <v>0.77</v>
      </c>
      <c r="F82" s="51">
        <v>0.98</v>
      </c>
      <c r="G82" s="51">
        <v>0.76</v>
      </c>
      <c r="H82" s="51">
        <v>0.7</v>
      </c>
      <c r="I82" s="27" t="s">
        <v>470</v>
      </c>
      <c r="J82">
        <v>44.2</v>
      </c>
      <c r="K82">
        <v>29.099999999999998</v>
      </c>
      <c r="L82">
        <v>60.099999999999994</v>
      </c>
      <c r="M82" s="27" t="s">
        <v>244</v>
      </c>
      <c r="N82" s="27" t="s">
        <v>252</v>
      </c>
      <c r="O82" s="52">
        <v>1.8000000000000002E-2</v>
      </c>
      <c r="P82" s="27" t="str">
        <f t="shared" si="18"/>
        <v>RCB</v>
      </c>
      <c r="Q82" s="26">
        <f t="shared" si="14"/>
        <v>1</v>
      </c>
      <c r="R82" s="26">
        <f t="shared" si="15"/>
        <v>2</v>
      </c>
      <c r="S82" s="26">
        <f t="shared" si="16"/>
        <v>1</v>
      </c>
      <c r="T82" s="26">
        <f t="shared" si="17"/>
        <v>1</v>
      </c>
      <c r="U82" s="46">
        <f>IF('AAA Summary'!$L$35=4, RANK(H82,H$8:H$82,1)+COUNTIF($H$8:H82,H82)-1, IF('AAA Summary'!$L$35=3, RANK(G82,G$8:G$82,1)+COUNTIF($G$8:G82,G82)-1, IF('AAA Summary'!$L$35=2, RANK(F82,F$8:F$82,1)+COUNTIF($F$8:F82,F82)-1, IF('AAA Summary'!$L$35=1, RANK(E82,E$8:E$82,1)+COUNTIF($E$8:E82,E82)-1))))</f>
        <v>10</v>
      </c>
      <c r="V82" s="34">
        <f>IF('AAA Summary'!$L$35=4, H82, IF('AAA Summary'!$L$35=3, G82, IF('AAA Summary'!$L$35=2, F82, IF('AAA Summary'!$L$35=1, E82))))</f>
        <v>0.77</v>
      </c>
      <c r="W82" s="11">
        <f t="shared" si="19"/>
        <v>15.100000000000005</v>
      </c>
      <c r="X82" s="11">
        <f t="shared" si="20"/>
        <v>15.899999999999991</v>
      </c>
      <c r="Y82" s="11">
        <v>80</v>
      </c>
      <c r="Z82" s="11">
        <v>63</v>
      </c>
      <c r="AA82" s="11">
        <v>33</v>
      </c>
      <c r="AB82" s="11">
        <v>89</v>
      </c>
      <c r="AC82" s="11">
        <f t="shared" si="10"/>
        <v>30</v>
      </c>
      <c r="AD82" s="11">
        <f t="shared" si="21"/>
        <v>26</v>
      </c>
      <c r="AE82" s="11">
        <v>56</v>
      </c>
      <c r="AF82">
        <v>32</v>
      </c>
      <c r="AG82" s="46" t="b">
        <f>IF('AAA Summary'!$L$4=2, J82, IF('AAA Summary'!$L$4=1, Z82))</f>
        <v>0</v>
      </c>
      <c r="AH82" s="46" t="b">
        <f>IF('AAA Summary'!$L$4=2, W82, IF('AAA Summary'!$L$4=1, AC82))</f>
        <v>0</v>
      </c>
      <c r="AI82" s="46" t="b">
        <f>IF('AAA Summary'!$L$4=2, X82, IF('AAA Summary'!$L$4=1, AD82))</f>
        <v>0</v>
      </c>
      <c r="AJ82" s="46" t="b">
        <f>IF('AAA Summary'!$L$4=2, Y82, IF('AAA Summary'!$L$4=1, AE82))</f>
        <v>0</v>
      </c>
      <c r="AK82" s="8">
        <v>0.442</v>
      </c>
    </row>
  </sheetData>
  <sortState ref="A2:M77">
    <sortCondition ref="B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RowHeight="15" x14ac:dyDescent="0.25"/>
  <cols>
    <col min="1" max="1" width="10.42578125" bestFit="1" customWidth="1"/>
    <col min="2" max="2" width="61" bestFit="1" customWidth="1"/>
    <col min="3" max="3" width="14.28515625" bestFit="1" customWidth="1"/>
    <col min="4" max="4" width="32.140625" bestFit="1" customWidth="1"/>
    <col min="5" max="5" width="24.7109375" bestFit="1" customWidth="1"/>
    <col min="6" max="6" width="10.28515625" bestFit="1" customWidth="1"/>
    <col min="7" max="7" width="11.28515625" bestFit="1" customWidth="1"/>
    <col min="8" max="8" width="17.28515625" bestFit="1" customWidth="1"/>
    <col min="9" max="9" width="9.85546875" bestFit="1" customWidth="1"/>
    <col min="10" max="10" width="15" bestFit="1" customWidth="1"/>
    <col min="11" max="11" width="8.42578125" bestFit="1" customWidth="1"/>
    <col min="12" max="22" width="8.42578125" customWidth="1"/>
    <col min="23" max="24" width="10.85546875" bestFit="1" customWidth="1"/>
    <col min="25" max="25" width="10.140625" bestFit="1" customWidth="1"/>
    <col min="26" max="26" width="11.140625" bestFit="1" customWidth="1"/>
    <col min="27" max="27" width="11.42578125" bestFit="1" customWidth="1"/>
    <col min="28" max="28" width="10.28515625" bestFit="1" customWidth="1"/>
  </cols>
  <sheetData>
    <row r="1" spans="1:28" ht="90" x14ac:dyDescent="0.25">
      <c r="A1" s="79" t="s">
        <v>566</v>
      </c>
      <c r="B1" s="79" t="s">
        <v>149</v>
      </c>
      <c r="C1" s="115" t="s">
        <v>706</v>
      </c>
      <c r="D1" s="116" t="s">
        <v>1026</v>
      </c>
      <c r="E1" s="117" t="s">
        <v>707</v>
      </c>
      <c r="F1" s="118" t="s">
        <v>708</v>
      </c>
      <c r="G1" s="118" t="s">
        <v>709</v>
      </c>
      <c r="H1" s="118" t="s">
        <v>710</v>
      </c>
      <c r="I1" s="118" t="s">
        <v>711</v>
      </c>
      <c r="J1" s="79" t="s">
        <v>566</v>
      </c>
      <c r="K1" s="33" t="s">
        <v>588</v>
      </c>
      <c r="L1" s="33" t="s">
        <v>848</v>
      </c>
      <c r="M1" s="33" t="s">
        <v>849</v>
      </c>
      <c r="N1" s="33" t="s">
        <v>850</v>
      </c>
      <c r="O1" s="33" t="s">
        <v>851</v>
      </c>
      <c r="P1" s="33" t="s">
        <v>852</v>
      </c>
      <c r="Q1" s="33" t="s">
        <v>1027</v>
      </c>
      <c r="R1" s="33" t="s">
        <v>853</v>
      </c>
      <c r="S1" s="33" t="s">
        <v>854</v>
      </c>
      <c r="T1" s="33" t="s">
        <v>855</v>
      </c>
      <c r="U1" s="33" t="s">
        <v>856</v>
      </c>
      <c r="V1" s="33" t="s">
        <v>858</v>
      </c>
      <c r="W1" s="33" t="s">
        <v>857</v>
      </c>
      <c r="X1" s="33" t="s">
        <v>860</v>
      </c>
      <c r="Y1" s="33" t="s">
        <v>592</v>
      </c>
      <c r="Z1" s="33" t="s">
        <v>593</v>
      </c>
      <c r="AA1" s="33" t="s">
        <v>594</v>
      </c>
      <c r="AB1" s="33" t="s">
        <v>595</v>
      </c>
    </row>
    <row r="2" spans="1:28" x14ac:dyDescent="0.25">
      <c r="A2" t="s">
        <v>6</v>
      </c>
      <c r="B2" t="s">
        <v>7</v>
      </c>
      <c r="C2" s="119">
        <v>49</v>
      </c>
      <c r="D2" s="120" t="s">
        <v>226</v>
      </c>
      <c r="E2" s="121">
        <v>0.61000001430511475</v>
      </c>
      <c r="F2" s="122">
        <v>75</v>
      </c>
      <c r="G2" s="122">
        <v>13</v>
      </c>
      <c r="H2" s="122">
        <v>63</v>
      </c>
      <c r="I2" s="123">
        <v>151</v>
      </c>
      <c r="J2" t="str">
        <f>A2</f>
        <v>7A6</v>
      </c>
      <c r="K2">
        <v>24</v>
      </c>
      <c r="L2" s="11">
        <v>3</v>
      </c>
      <c r="M2">
        <v>1</v>
      </c>
      <c r="N2">
        <v>8</v>
      </c>
      <c r="O2">
        <f>L2-M2</f>
        <v>2</v>
      </c>
      <c r="P2">
        <f>N2-L2</f>
        <v>5</v>
      </c>
      <c r="Q2" s="11">
        <v>61.000001430511475</v>
      </c>
      <c r="R2">
        <v>46.000000834465027</v>
      </c>
      <c r="S2">
        <v>75</v>
      </c>
      <c r="T2">
        <f>Q2-R2</f>
        <v>15.000000596046448</v>
      </c>
      <c r="U2">
        <f>S2-Q2</f>
        <v>13.999998569488525</v>
      </c>
      <c r="V2">
        <f>IF('LL Revascularisation Summary'!$P$3=2, Q2, IF('LL Revascularisation Summary'!$P$3=1,L2))</f>
        <v>61.000001430511475</v>
      </c>
      <c r="W2" s="11">
        <f>IF('LL Revascularisation Summary'!$P$3=2, U2, IF('LL Revascularisation Summary'!$P$3=1,P2))</f>
        <v>13.999998569488525</v>
      </c>
      <c r="X2" s="11">
        <f>IF('LL Revascularisation Summary'!$P$3=2, T2, IF('LL Revascularisation Summary'!$P$3=1,O2))</f>
        <v>15.000000596046448</v>
      </c>
      <c r="Y2" s="59">
        <f>F2/I2</f>
        <v>0.49668874172185429</v>
      </c>
      <c r="Z2" s="59">
        <f>G2/I2</f>
        <v>8.6092715231788075E-2</v>
      </c>
      <c r="AA2" s="59">
        <f>H2/I2</f>
        <v>0.41721854304635764</v>
      </c>
      <c r="AB2">
        <v>1</v>
      </c>
    </row>
    <row r="3" spans="1:28" x14ac:dyDescent="0.25">
      <c r="A3" t="s">
        <v>97</v>
      </c>
      <c r="B3" t="s">
        <v>352</v>
      </c>
      <c r="C3" s="124" t="s">
        <v>369</v>
      </c>
      <c r="D3" s="125" t="s">
        <v>284</v>
      </c>
      <c r="E3" s="126" t="s">
        <v>284</v>
      </c>
      <c r="F3" s="7" t="s">
        <v>284</v>
      </c>
      <c r="G3" s="7" t="s">
        <v>284</v>
      </c>
      <c r="H3" s="7" t="s">
        <v>284</v>
      </c>
      <c r="I3" s="127" t="s">
        <v>284</v>
      </c>
      <c r="J3" t="str">
        <f t="shared" ref="J3:J66" si="0">A3</f>
        <v>RTK</v>
      </c>
      <c r="K3">
        <v>66</v>
      </c>
      <c r="L3" t="s">
        <v>284</v>
      </c>
      <c r="M3" t="e">
        <v>#VALUE!</v>
      </c>
      <c r="N3" t="e">
        <v>#VALUE!</v>
      </c>
      <c r="O3" t="e">
        <f t="shared" ref="O3:O66" si="1">L3-M3</f>
        <v>#VALUE!</v>
      </c>
      <c r="P3" t="e">
        <f t="shared" ref="P3:P66" si="2">N3-L3</f>
        <v>#VALUE!</v>
      </c>
      <c r="Q3" s="11" t="e">
        <v>#VALUE!</v>
      </c>
      <c r="R3" s="11" t="e">
        <v>#VALUE!</v>
      </c>
      <c r="S3" s="11" t="e">
        <v>#VALUE!</v>
      </c>
      <c r="T3" t="e">
        <f t="shared" ref="T3:T66" si="3">Q3-R3</f>
        <v>#VALUE!</v>
      </c>
      <c r="U3" t="e">
        <f t="shared" ref="U3:U66" si="4">S3-Q3</f>
        <v>#VALUE!</v>
      </c>
      <c r="V3" t="e">
        <f>IF('LL Revascularisation Summary'!$P$3=2, Q3, IF('LL Revascularisation Summary'!$P$3=1,L3))</f>
        <v>#VALUE!</v>
      </c>
      <c r="W3" s="11" t="e">
        <f>IF('LL Revascularisation Summary'!$P$3=2, U3, IF('LL Revascularisation Summary'!$P$3=1,P3))</f>
        <v>#VALUE!</v>
      </c>
      <c r="X3" s="11" t="e">
        <f>IF('LL Revascularisation Summary'!$P$3=2, T3, IF('LL Revascularisation Summary'!$P$3=1,O3))</f>
        <v>#VALUE!</v>
      </c>
      <c r="Y3" s="59" t="e">
        <f t="shared" ref="Y3:Y66" si="5">F3/I3</f>
        <v>#VALUE!</v>
      </c>
      <c r="Z3" s="59" t="e">
        <f t="shared" ref="Z3:Z66" si="6">G3/I3</f>
        <v>#VALUE!</v>
      </c>
      <c r="AA3" s="59" t="e">
        <f t="shared" ref="AA3:AA66" si="7">H3/I3</f>
        <v>#VALUE!</v>
      </c>
      <c r="AB3">
        <v>0</v>
      </c>
    </row>
    <row r="4" spans="1:28" x14ac:dyDescent="0.25">
      <c r="A4" t="s">
        <v>35</v>
      </c>
      <c r="B4" t="s">
        <v>353</v>
      </c>
      <c r="C4" s="124">
        <v>46</v>
      </c>
      <c r="D4" s="125" t="s">
        <v>712</v>
      </c>
      <c r="E4" s="126">
        <v>0.51999998092651367</v>
      </c>
      <c r="F4" s="7">
        <v>31</v>
      </c>
      <c r="G4" s="7">
        <v>7</v>
      </c>
      <c r="H4" s="7">
        <v>127</v>
      </c>
      <c r="I4" s="127">
        <v>165</v>
      </c>
      <c r="J4" t="str">
        <f t="shared" si="0"/>
        <v>RF4</v>
      </c>
      <c r="K4">
        <v>37</v>
      </c>
      <c r="L4" s="11">
        <v>5</v>
      </c>
      <c r="M4">
        <v>4</v>
      </c>
      <c r="N4">
        <v>10</v>
      </c>
      <c r="O4">
        <f t="shared" si="1"/>
        <v>1</v>
      </c>
      <c r="P4">
        <f t="shared" si="2"/>
        <v>5</v>
      </c>
      <c r="Q4" s="11">
        <v>51.999998092651367</v>
      </c>
      <c r="R4">
        <v>37.000000476837158</v>
      </c>
      <c r="S4">
        <v>67.000001668930054</v>
      </c>
      <c r="T4">
        <f t="shared" si="3"/>
        <v>14.999997615814209</v>
      </c>
      <c r="U4">
        <f t="shared" si="4"/>
        <v>15.000003576278687</v>
      </c>
      <c r="V4">
        <f>IF('LL Revascularisation Summary'!$P$3=2, Q4, IF('LL Revascularisation Summary'!$P$3=1,L4))</f>
        <v>51.999998092651367</v>
      </c>
      <c r="W4" s="11">
        <f>IF('LL Revascularisation Summary'!$P$3=2, U4, IF('LL Revascularisation Summary'!$P$3=1,P4))</f>
        <v>15.000003576278687</v>
      </c>
      <c r="X4" s="11">
        <f>IF('LL Revascularisation Summary'!$P$3=2, T4, IF('LL Revascularisation Summary'!$P$3=1,O4))</f>
        <v>14.999997615814209</v>
      </c>
      <c r="Y4" s="59">
        <f t="shared" si="5"/>
        <v>0.18787878787878787</v>
      </c>
      <c r="Z4" s="59">
        <f t="shared" si="6"/>
        <v>4.2424242424242427E-2</v>
      </c>
      <c r="AA4" s="59">
        <f t="shared" si="7"/>
        <v>0.76969696969696966</v>
      </c>
      <c r="AB4">
        <v>1</v>
      </c>
    </row>
    <row r="5" spans="1:28" x14ac:dyDescent="0.25">
      <c r="A5" t="s">
        <v>10</v>
      </c>
      <c r="B5" t="s">
        <v>11</v>
      </c>
      <c r="C5" s="124">
        <v>40</v>
      </c>
      <c r="D5" s="125" t="s">
        <v>211</v>
      </c>
      <c r="E5" s="126">
        <v>0.31999999284744263</v>
      </c>
      <c r="F5" s="7">
        <v>17</v>
      </c>
      <c r="G5" s="7">
        <v>8</v>
      </c>
      <c r="H5" s="7">
        <v>44</v>
      </c>
      <c r="I5" s="127">
        <v>69</v>
      </c>
      <c r="J5" t="str">
        <f t="shared" si="0"/>
        <v>R1H</v>
      </c>
      <c r="K5">
        <v>61</v>
      </c>
      <c r="L5" s="11">
        <v>7</v>
      </c>
      <c r="M5">
        <v>5</v>
      </c>
      <c r="N5">
        <v>13</v>
      </c>
      <c r="O5">
        <f t="shared" si="1"/>
        <v>2</v>
      </c>
      <c r="P5">
        <f t="shared" si="2"/>
        <v>6</v>
      </c>
      <c r="Q5" s="11">
        <v>31.999999284744263</v>
      </c>
      <c r="R5">
        <v>18.999999761581421</v>
      </c>
      <c r="S5">
        <v>49.000000953674316</v>
      </c>
      <c r="T5">
        <f t="shared" si="3"/>
        <v>12.999999523162842</v>
      </c>
      <c r="U5">
        <f t="shared" si="4"/>
        <v>17.000001668930054</v>
      </c>
      <c r="V5">
        <f>IF('LL Revascularisation Summary'!$P$3=2, Q5, IF('LL Revascularisation Summary'!$P$3=1,L5))</f>
        <v>31.999999284744263</v>
      </c>
      <c r="W5" s="11">
        <f>IF('LL Revascularisation Summary'!$P$3=2, U5, IF('LL Revascularisation Summary'!$P$3=1,P5))</f>
        <v>17.000001668930054</v>
      </c>
      <c r="X5" s="11">
        <f>IF('LL Revascularisation Summary'!$P$3=2, T5, IF('LL Revascularisation Summary'!$P$3=1,O5))</f>
        <v>12.999999523162842</v>
      </c>
      <c r="Y5" s="59">
        <f t="shared" si="5"/>
        <v>0.24637681159420291</v>
      </c>
      <c r="Z5" s="59">
        <f t="shared" si="6"/>
        <v>0.11594202898550725</v>
      </c>
      <c r="AA5" s="59">
        <f t="shared" si="7"/>
        <v>0.6376811594202898</v>
      </c>
      <c r="AB5">
        <v>1</v>
      </c>
    </row>
    <row r="6" spans="1:28" x14ac:dyDescent="0.25">
      <c r="A6" t="s">
        <v>610</v>
      </c>
      <c r="B6" t="s">
        <v>611</v>
      </c>
      <c r="C6" s="124">
        <v>46</v>
      </c>
      <c r="D6" s="125" t="s">
        <v>247</v>
      </c>
      <c r="E6" s="126">
        <v>0.67000001668930054</v>
      </c>
      <c r="F6" s="7">
        <v>72</v>
      </c>
      <c r="G6" s="7">
        <v>23</v>
      </c>
      <c r="H6" s="7">
        <v>127</v>
      </c>
      <c r="I6" s="127">
        <v>222</v>
      </c>
      <c r="J6" t="str">
        <f t="shared" si="0"/>
        <v>RC9</v>
      </c>
      <c r="K6">
        <v>13</v>
      </c>
      <c r="L6" s="11">
        <v>3</v>
      </c>
      <c r="M6">
        <v>1</v>
      </c>
      <c r="N6">
        <v>6</v>
      </c>
      <c r="O6">
        <f t="shared" si="1"/>
        <v>2</v>
      </c>
      <c r="P6">
        <f t="shared" si="2"/>
        <v>3</v>
      </c>
      <c r="Q6" s="11">
        <v>67.000001668930054</v>
      </c>
      <c r="R6">
        <v>51.999998092651367</v>
      </c>
      <c r="S6">
        <v>80.000001192092896</v>
      </c>
      <c r="T6">
        <f t="shared" si="3"/>
        <v>15.000003576278687</v>
      </c>
      <c r="U6">
        <f t="shared" si="4"/>
        <v>12.999999523162842</v>
      </c>
      <c r="V6">
        <f>IF('LL Revascularisation Summary'!$P$3=2, Q6, IF('LL Revascularisation Summary'!$P$3=1,L6))</f>
        <v>67.000001668930054</v>
      </c>
      <c r="W6" s="11">
        <f>IF('LL Revascularisation Summary'!$P$3=2, U6, IF('LL Revascularisation Summary'!$P$3=1,P6))</f>
        <v>12.999999523162842</v>
      </c>
      <c r="X6" s="11">
        <f>IF('LL Revascularisation Summary'!$P$3=2, T6, IF('LL Revascularisation Summary'!$P$3=1,O6))</f>
        <v>15.000003576278687</v>
      </c>
      <c r="Y6" s="59">
        <f t="shared" si="5"/>
        <v>0.32432432432432434</v>
      </c>
      <c r="Z6" s="59">
        <f t="shared" si="6"/>
        <v>0.1036036036036036</v>
      </c>
      <c r="AA6" s="59">
        <f t="shared" si="7"/>
        <v>0.57207207207207211</v>
      </c>
      <c r="AB6">
        <v>1</v>
      </c>
    </row>
    <row r="7" spans="1:28" x14ac:dyDescent="0.25">
      <c r="A7" t="s">
        <v>147</v>
      </c>
      <c r="B7" t="s">
        <v>148</v>
      </c>
      <c r="C7" s="124">
        <v>83</v>
      </c>
      <c r="D7" s="125" t="s">
        <v>585</v>
      </c>
      <c r="E7" s="126">
        <v>0.47999998927116394</v>
      </c>
      <c r="F7" s="128">
        <v>110</v>
      </c>
      <c r="G7" s="128">
        <v>40</v>
      </c>
      <c r="H7" s="128">
        <v>108</v>
      </c>
      <c r="I7" s="127">
        <v>258</v>
      </c>
      <c r="J7" t="str">
        <f t="shared" si="0"/>
        <v>ZT001</v>
      </c>
      <c r="K7">
        <v>43</v>
      </c>
      <c r="L7" s="11">
        <v>6</v>
      </c>
      <c r="M7">
        <v>4</v>
      </c>
      <c r="N7">
        <v>8</v>
      </c>
      <c r="O7">
        <f t="shared" si="1"/>
        <v>2</v>
      </c>
      <c r="P7">
        <f t="shared" si="2"/>
        <v>2</v>
      </c>
      <c r="Q7" s="11">
        <v>47.999998927116394</v>
      </c>
      <c r="R7">
        <v>37.000000476837158</v>
      </c>
      <c r="S7">
        <v>58.99999737739563</v>
      </c>
      <c r="T7">
        <f t="shared" si="3"/>
        <v>10.999998450279236</v>
      </c>
      <c r="U7">
        <f t="shared" si="4"/>
        <v>10.999998450279236</v>
      </c>
      <c r="V7">
        <f>IF('LL Revascularisation Summary'!$P$3=2, Q7, IF('LL Revascularisation Summary'!$P$3=1,L7))</f>
        <v>47.999998927116394</v>
      </c>
      <c r="W7" s="11">
        <f>IF('LL Revascularisation Summary'!$P$3=2, U7, IF('LL Revascularisation Summary'!$P$3=1,P7))</f>
        <v>10.999998450279236</v>
      </c>
      <c r="X7" s="11">
        <f>IF('LL Revascularisation Summary'!$P$3=2, T7, IF('LL Revascularisation Summary'!$P$3=1,O7))</f>
        <v>10.999998450279236</v>
      </c>
      <c r="Y7" s="59">
        <f t="shared" si="5"/>
        <v>0.4263565891472868</v>
      </c>
      <c r="Z7" s="59">
        <f t="shared" si="6"/>
        <v>0.15503875968992248</v>
      </c>
      <c r="AA7" s="59">
        <f t="shared" si="7"/>
        <v>0.41860465116279072</v>
      </c>
      <c r="AB7">
        <v>1</v>
      </c>
    </row>
    <row r="8" spans="1:28" x14ac:dyDescent="0.25">
      <c r="A8" t="s">
        <v>0</v>
      </c>
      <c r="B8" t="s">
        <v>1</v>
      </c>
      <c r="C8" s="124">
        <v>33</v>
      </c>
      <c r="D8" s="125" t="s">
        <v>548</v>
      </c>
      <c r="E8" s="126">
        <v>0.36000001430511475</v>
      </c>
      <c r="F8" s="128">
        <v>59</v>
      </c>
      <c r="G8" s="128">
        <v>38</v>
      </c>
      <c r="H8" s="128">
        <v>2</v>
      </c>
      <c r="I8" s="127">
        <v>99</v>
      </c>
      <c r="J8" t="str">
        <f t="shared" si="0"/>
        <v>7A1</v>
      </c>
      <c r="K8">
        <v>56</v>
      </c>
      <c r="L8" s="11">
        <v>8</v>
      </c>
      <c r="M8">
        <v>3</v>
      </c>
      <c r="N8">
        <v>13</v>
      </c>
      <c r="O8">
        <f t="shared" si="1"/>
        <v>5</v>
      </c>
      <c r="P8">
        <f t="shared" si="2"/>
        <v>5</v>
      </c>
      <c r="Q8" s="11">
        <v>36.000001430511475</v>
      </c>
      <c r="R8">
        <v>20.000000298023224</v>
      </c>
      <c r="S8">
        <v>55.000001192092896</v>
      </c>
      <c r="T8">
        <f t="shared" si="3"/>
        <v>16.000001132488251</v>
      </c>
      <c r="U8">
        <f t="shared" si="4"/>
        <v>18.999999761581421</v>
      </c>
      <c r="V8">
        <f>IF('LL Revascularisation Summary'!$P$3=2, Q8, IF('LL Revascularisation Summary'!$P$3=1,L8))</f>
        <v>36.000001430511475</v>
      </c>
      <c r="W8" s="11">
        <f>IF('LL Revascularisation Summary'!$P$3=2, U8, IF('LL Revascularisation Summary'!$P$3=1,P8))</f>
        <v>18.999999761581421</v>
      </c>
      <c r="X8" s="11">
        <f>IF('LL Revascularisation Summary'!$P$3=2, T8, IF('LL Revascularisation Summary'!$P$3=1,O8))</f>
        <v>16.000001132488251</v>
      </c>
      <c r="Y8" s="59">
        <f t="shared" si="5"/>
        <v>0.59595959595959591</v>
      </c>
      <c r="Z8" s="59">
        <f t="shared" si="6"/>
        <v>0.38383838383838381</v>
      </c>
      <c r="AA8" s="59">
        <f t="shared" si="7"/>
        <v>2.0202020202020204E-2</v>
      </c>
      <c r="AB8">
        <v>1</v>
      </c>
    </row>
    <row r="9" spans="1:28" x14ac:dyDescent="0.25">
      <c r="A9" t="s">
        <v>67</v>
      </c>
      <c r="B9" t="s">
        <v>68</v>
      </c>
      <c r="C9" s="124">
        <v>0</v>
      </c>
      <c r="D9" s="125" t="s">
        <v>276</v>
      </c>
      <c r="E9" s="129" t="s">
        <v>276</v>
      </c>
      <c r="F9" s="7" t="s">
        <v>284</v>
      </c>
      <c r="G9" s="7" t="s">
        <v>284</v>
      </c>
      <c r="H9" s="7" t="s">
        <v>284</v>
      </c>
      <c r="I9" s="127" t="s">
        <v>284</v>
      </c>
      <c r="J9" t="str">
        <f t="shared" si="0"/>
        <v>RMC</v>
      </c>
      <c r="K9">
        <v>71</v>
      </c>
      <c r="L9" t="s">
        <v>859</v>
      </c>
      <c r="M9" t="e">
        <v>#VALUE!</v>
      </c>
      <c r="N9" t="e">
        <v>#VALUE!</v>
      </c>
      <c r="O9" t="e">
        <f t="shared" si="1"/>
        <v>#VALUE!</v>
      </c>
      <c r="P9" t="e">
        <f t="shared" si="2"/>
        <v>#VALUE!</v>
      </c>
      <c r="Q9" s="11" t="e">
        <v>#VALUE!</v>
      </c>
      <c r="R9" t="e">
        <v>#VALUE!</v>
      </c>
      <c r="S9" t="e">
        <v>#VALUE!</v>
      </c>
      <c r="T9" t="e">
        <f t="shared" si="3"/>
        <v>#VALUE!</v>
      </c>
      <c r="U9" t="e">
        <f t="shared" si="4"/>
        <v>#VALUE!</v>
      </c>
      <c r="V9" t="e">
        <f>IF('LL Revascularisation Summary'!$P$3=2, Q9, IF('LL Revascularisation Summary'!$P$3=1,L9))</f>
        <v>#VALUE!</v>
      </c>
      <c r="W9" s="11" t="e">
        <f>IF('LL Revascularisation Summary'!$P$3=2, U9, IF('LL Revascularisation Summary'!$P$3=1,P9))</f>
        <v>#VALUE!</v>
      </c>
      <c r="X9" s="11" t="e">
        <f>IF('LL Revascularisation Summary'!$P$3=2, T9, IF('LL Revascularisation Summary'!$P$3=1,O9))</f>
        <v>#VALUE!</v>
      </c>
      <c r="Y9" s="59" t="e">
        <f t="shared" si="5"/>
        <v>#VALUE!</v>
      </c>
      <c r="Z9" s="59" t="e">
        <f t="shared" si="6"/>
        <v>#VALUE!</v>
      </c>
      <c r="AA9" s="59" t="e">
        <f t="shared" si="7"/>
        <v>#VALUE!</v>
      </c>
      <c r="AB9">
        <v>0</v>
      </c>
    </row>
    <row r="10" spans="1:28" x14ac:dyDescent="0.25">
      <c r="A10" t="s">
        <v>15</v>
      </c>
      <c r="B10" t="s">
        <v>16</v>
      </c>
      <c r="C10" s="124">
        <v>12</v>
      </c>
      <c r="D10" s="125" t="s">
        <v>175</v>
      </c>
      <c r="E10" s="126">
        <v>0.57999998331069946</v>
      </c>
      <c r="F10" s="7">
        <v>30</v>
      </c>
      <c r="G10" s="7">
        <v>7</v>
      </c>
      <c r="H10" s="7">
        <v>0</v>
      </c>
      <c r="I10" s="127">
        <v>37</v>
      </c>
      <c r="J10" t="str">
        <f t="shared" si="0"/>
        <v>RAE</v>
      </c>
      <c r="K10">
        <v>28</v>
      </c>
      <c r="L10" s="11">
        <v>5</v>
      </c>
      <c r="M10">
        <v>3</v>
      </c>
      <c r="N10">
        <v>8</v>
      </c>
      <c r="O10">
        <f t="shared" si="1"/>
        <v>2</v>
      </c>
      <c r="P10">
        <f t="shared" si="2"/>
        <v>3</v>
      </c>
      <c r="Q10" s="11">
        <v>57.999998331069946</v>
      </c>
      <c r="R10">
        <v>28.00000011920929</v>
      </c>
      <c r="S10">
        <v>85.000002384185791</v>
      </c>
      <c r="T10">
        <f t="shared" si="3"/>
        <v>29.999998211860657</v>
      </c>
      <c r="U10">
        <f t="shared" si="4"/>
        <v>27.000004053115845</v>
      </c>
      <c r="V10">
        <f>IF('LL Revascularisation Summary'!$P$3=2, Q10, IF('LL Revascularisation Summary'!$P$3=1,L10))</f>
        <v>57.999998331069946</v>
      </c>
      <c r="W10" s="11">
        <f>IF('LL Revascularisation Summary'!$P$3=2, U10, IF('LL Revascularisation Summary'!$P$3=1,P10))</f>
        <v>27.000004053115845</v>
      </c>
      <c r="X10" s="11">
        <f>IF('LL Revascularisation Summary'!$P$3=2, T10, IF('LL Revascularisation Summary'!$P$3=1,O10))</f>
        <v>29.999998211860657</v>
      </c>
      <c r="Y10" s="59">
        <f t="shared" si="5"/>
        <v>0.81081081081081086</v>
      </c>
      <c r="Z10" s="59">
        <f t="shared" si="6"/>
        <v>0.1891891891891892</v>
      </c>
      <c r="AA10" s="59">
        <f t="shared" si="7"/>
        <v>0</v>
      </c>
      <c r="AB10">
        <v>1</v>
      </c>
    </row>
    <row r="11" spans="1:28" x14ac:dyDescent="0.25">
      <c r="A11" t="s">
        <v>195</v>
      </c>
      <c r="B11" t="s">
        <v>282</v>
      </c>
      <c r="C11" s="124">
        <v>0</v>
      </c>
      <c r="D11" s="125" t="s">
        <v>276</v>
      </c>
      <c r="E11" s="129" t="s">
        <v>276</v>
      </c>
      <c r="F11" s="7" t="s">
        <v>284</v>
      </c>
      <c r="G11" s="7" t="s">
        <v>284</v>
      </c>
      <c r="H11" s="7" t="s">
        <v>284</v>
      </c>
      <c r="I11" s="127" t="s">
        <v>284</v>
      </c>
      <c r="J11" t="str">
        <f t="shared" si="0"/>
        <v>RXQ</v>
      </c>
      <c r="K11">
        <v>72</v>
      </c>
      <c r="L11" t="s">
        <v>859</v>
      </c>
      <c r="M11" t="e">
        <v>#VALUE!</v>
      </c>
      <c r="N11" t="e">
        <v>#VALUE!</v>
      </c>
      <c r="O11" t="e">
        <f t="shared" si="1"/>
        <v>#VALUE!</v>
      </c>
      <c r="P11" t="e">
        <f t="shared" si="2"/>
        <v>#VALUE!</v>
      </c>
      <c r="Q11" s="11" t="e">
        <v>#VALUE!</v>
      </c>
      <c r="R11" t="e">
        <v>#VALUE!</v>
      </c>
      <c r="S11" t="e">
        <v>#VALUE!</v>
      </c>
      <c r="T11" t="e">
        <f t="shared" si="3"/>
        <v>#VALUE!</v>
      </c>
      <c r="U11" t="e">
        <f t="shared" si="4"/>
        <v>#VALUE!</v>
      </c>
      <c r="V11" t="e">
        <f>IF('LL Revascularisation Summary'!$P$3=2, Q11, IF('LL Revascularisation Summary'!$P$3=1,L11))</f>
        <v>#VALUE!</v>
      </c>
      <c r="W11" s="11" t="e">
        <f>IF('LL Revascularisation Summary'!$P$3=2, U11, IF('LL Revascularisation Summary'!$P$3=1,P11))</f>
        <v>#VALUE!</v>
      </c>
      <c r="X11" s="11" t="e">
        <f>IF('LL Revascularisation Summary'!$P$3=2, T11, IF('LL Revascularisation Summary'!$P$3=1,O11))</f>
        <v>#VALUE!</v>
      </c>
      <c r="Y11" s="59" t="e">
        <f t="shared" si="5"/>
        <v>#VALUE!</v>
      </c>
      <c r="Z11" s="59" t="e">
        <f t="shared" si="6"/>
        <v>#VALUE!</v>
      </c>
      <c r="AA11" s="59" t="e">
        <f t="shared" si="7"/>
        <v>#VALUE!</v>
      </c>
      <c r="AB11">
        <v>0</v>
      </c>
    </row>
    <row r="12" spans="1:28" x14ac:dyDescent="0.25">
      <c r="A12" t="s">
        <v>117</v>
      </c>
      <c r="B12" t="s">
        <v>118</v>
      </c>
      <c r="C12" s="124">
        <v>0</v>
      </c>
      <c r="D12" s="125" t="s">
        <v>276</v>
      </c>
      <c r="E12" s="129" t="s">
        <v>276</v>
      </c>
      <c r="F12" s="7" t="s">
        <v>284</v>
      </c>
      <c r="G12" s="7" t="s">
        <v>284</v>
      </c>
      <c r="H12" s="7" t="s">
        <v>284</v>
      </c>
      <c r="I12" s="127" t="s">
        <v>284</v>
      </c>
      <c r="J12" t="str">
        <f t="shared" si="0"/>
        <v>RWY</v>
      </c>
      <c r="K12">
        <v>73</v>
      </c>
      <c r="L12" t="s">
        <v>859</v>
      </c>
      <c r="M12" t="e">
        <v>#VALUE!</v>
      </c>
      <c r="N12" t="e">
        <v>#VALUE!</v>
      </c>
      <c r="O12" t="e">
        <f t="shared" si="1"/>
        <v>#VALUE!</v>
      </c>
      <c r="P12" t="e">
        <f t="shared" si="2"/>
        <v>#VALUE!</v>
      </c>
      <c r="Q12" s="11" t="e">
        <v>#VALUE!</v>
      </c>
      <c r="R12" t="e">
        <v>#VALUE!</v>
      </c>
      <c r="S12" t="e">
        <v>#VALUE!</v>
      </c>
      <c r="T12" t="e">
        <f t="shared" si="3"/>
        <v>#VALUE!</v>
      </c>
      <c r="U12" t="e">
        <f t="shared" si="4"/>
        <v>#VALUE!</v>
      </c>
      <c r="V12" t="e">
        <f>IF('LL Revascularisation Summary'!$P$3=2, Q12, IF('LL Revascularisation Summary'!$P$3=1,L12))</f>
        <v>#VALUE!</v>
      </c>
      <c r="W12" s="11" t="e">
        <f>IF('LL Revascularisation Summary'!$P$3=2, U12, IF('LL Revascularisation Summary'!$P$3=1,P12))</f>
        <v>#VALUE!</v>
      </c>
      <c r="X12" s="11" t="e">
        <f>IF('LL Revascularisation Summary'!$P$3=2, T12, IF('LL Revascularisation Summary'!$P$3=1,O12))</f>
        <v>#VALUE!</v>
      </c>
      <c r="Y12" s="59" t="e">
        <f t="shared" si="5"/>
        <v>#VALUE!</v>
      </c>
      <c r="Z12" s="59" t="e">
        <f t="shared" si="6"/>
        <v>#VALUE!</v>
      </c>
      <c r="AA12" s="59" t="e">
        <f t="shared" si="7"/>
        <v>#VALUE!</v>
      </c>
      <c r="AB12">
        <v>0</v>
      </c>
    </row>
    <row r="13" spans="1:28" x14ac:dyDescent="0.25">
      <c r="A13" t="s">
        <v>40</v>
      </c>
      <c r="B13" t="s">
        <v>41</v>
      </c>
      <c r="C13" s="124">
        <v>34</v>
      </c>
      <c r="D13" s="125" t="s">
        <v>210</v>
      </c>
      <c r="E13" s="126">
        <v>0.5899999737739563</v>
      </c>
      <c r="F13" s="7">
        <v>109</v>
      </c>
      <c r="G13" s="7">
        <v>29</v>
      </c>
      <c r="H13" s="7">
        <v>18</v>
      </c>
      <c r="I13" s="127">
        <v>156</v>
      </c>
      <c r="J13" t="str">
        <f t="shared" si="0"/>
        <v>RGT</v>
      </c>
      <c r="K13">
        <v>26</v>
      </c>
      <c r="L13" s="11">
        <v>4</v>
      </c>
      <c r="M13">
        <v>2</v>
      </c>
      <c r="N13">
        <v>9</v>
      </c>
      <c r="O13">
        <f t="shared" si="1"/>
        <v>2</v>
      </c>
      <c r="P13">
        <f t="shared" si="2"/>
        <v>5</v>
      </c>
      <c r="Q13" s="11">
        <v>58.99999737739563</v>
      </c>
      <c r="R13">
        <v>40.999999642372131</v>
      </c>
      <c r="S13">
        <v>75</v>
      </c>
      <c r="T13">
        <f t="shared" si="3"/>
        <v>17.999997735023499</v>
      </c>
      <c r="U13">
        <f t="shared" si="4"/>
        <v>16.00000262260437</v>
      </c>
      <c r="V13">
        <f>IF('LL Revascularisation Summary'!$P$3=2, Q13, IF('LL Revascularisation Summary'!$P$3=1,L13))</f>
        <v>58.99999737739563</v>
      </c>
      <c r="W13" s="11">
        <f>IF('LL Revascularisation Summary'!$P$3=2, U13, IF('LL Revascularisation Summary'!$P$3=1,P13))</f>
        <v>16.00000262260437</v>
      </c>
      <c r="X13" s="11">
        <f>IF('LL Revascularisation Summary'!$P$3=2, T13, IF('LL Revascularisation Summary'!$P$3=1,O13))</f>
        <v>17.999997735023499</v>
      </c>
      <c r="Y13" s="59">
        <f t="shared" si="5"/>
        <v>0.69871794871794868</v>
      </c>
      <c r="Z13" s="59">
        <f t="shared" si="6"/>
        <v>0.1858974358974359</v>
      </c>
      <c r="AA13" s="59">
        <f t="shared" si="7"/>
        <v>0.11538461538461539</v>
      </c>
      <c r="AB13">
        <v>1</v>
      </c>
    </row>
    <row r="14" spans="1:28" x14ac:dyDescent="0.25">
      <c r="A14" t="s">
        <v>3</v>
      </c>
      <c r="B14" t="s">
        <v>4</v>
      </c>
      <c r="C14" s="124">
        <v>32</v>
      </c>
      <c r="D14" s="125" t="s">
        <v>713</v>
      </c>
      <c r="E14" s="126">
        <v>0.31000000238418579</v>
      </c>
      <c r="F14" s="7">
        <v>51</v>
      </c>
      <c r="G14" s="7">
        <v>4</v>
      </c>
      <c r="H14" s="7">
        <v>27</v>
      </c>
      <c r="I14" s="127">
        <v>82</v>
      </c>
      <c r="J14" t="str">
        <f t="shared" si="0"/>
        <v>7A4</v>
      </c>
      <c r="K14">
        <v>62</v>
      </c>
      <c r="L14" s="11">
        <v>9</v>
      </c>
      <c r="M14">
        <v>4</v>
      </c>
      <c r="N14">
        <v>14</v>
      </c>
      <c r="O14">
        <f t="shared" si="1"/>
        <v>5</v>
      </c>
      <c r="P14">
        <f t="shared" si="2"/>
        <v>5</v>
      </c>
      <c r="Q14" s="11">
        <v>31.000000238418579</v>
      </c>
      <c r="R14">
        <v>15.999999642372131</v>
      </c>
      <c r="S14">
        <v>50</v>
      </c>
      <c r="T14">
        <f t="shared" si="3"/>
        <v>15.000000596046448</v>
      </c>
      <c r="U14">
        <f t="shared" si="4"/>
        <v>18.999999761581421</v>
      </c>
      <c r="V14">
        <f>IF('LL Revascularisation Summary'!$P$3=2, Q14, IF('LL Revascularisation Summary'!$P$3=1,L14))</f>
        <v>31.000000238418579</v>
      </c>
      <c r="W14" s="11">
        <f>IF('LL Revascularisation Summary'!$P$3=2, U14, IF('LL Revascularisation Summary'!$P$3=1,P14))</f>
        <v>18.999999761581421</v>
      </c>
      <c r="X14" s="11">
        <f>IF('LL Revascularisation Summary'!$P$3=2, T14, IF('LL Revascularisation Summary'!$P$3=1,O14))</f>
        <v>15.000000596046448</v>
      </c>
      <c r="Y14" s="59">
        <f t="shared" si="5"/>
        <v>0.62195121951219512</v>
      </c>
      <c r="Z14" s="59">
        <f t="shared" si="6"/>
        <v>4.878048780487805E-2</v>
      </c>
      <c r="AA14" s="59">
        <f t="shared" si="7"/>
        <v>0.32926829268292684</v>
      </c>
      <c r="AB14">
        <v>1</v>
      </c>
    </row>
    <row r="15" spans="1:28" x14ac:dyDescent="0.25">
      <c r="A15" t="s">
        <v>56</v>
      </c>
      <c r="B15" t="s">
        <v>57</v>
      </c>
      <c r="C15" s="124">
        <v>72</v>
      </c>
      <c r="D15" s="125" t="s">
        <v>234</v>
      </c>
      <c r="E15" s="126">
        <v>0.57999998331069946</v>
      </c>
      <c r="F15" s="7">
        <v>102</v>
      </c>
      <c r="G15" s="7">
        <v>44</v>
      </c>
      <c r="H15" s="7">
        <v>66</v>
      </c>
      <c r="I15" s="127">
        <v>212</v>
      </c>
      <c r="J15" t="str">
        <f t="shared" si="0"/>
        <v>RJR</v>
      </c>
      <c r="K15">
        <v>29</v>
      </c>
      <c r="L15" s="11">
        <v>5</v>
      </c>
      <c r="M15">
        <v>2</v>
      </c>
      <c r="N15">
        <v>8</v>
      </c>
      <c r="O15">
        <f t="shared" si="1"/>
        <v>3</v>
      </c>
      <c r="P15">
        <f t="shared" si="2"/>
        <v>3</v>
      </c>
      <c r="Q15" s="11">
        <v>57.999998331069946</v>
      </c>
      <c r="R15">
        <v>46.000000834465027</v>
      </c>
      <c r="S15">
        <v>69.999998807907104</v>
      </c>
      <c r="T15">
        <f t="shared" si="3"/>
        <v>11.999997496604919</v>
      </c>
      <c r="U15">
        <f t="shared" si="4"/>
        <v>12.000000476837158</v>
      </c>
      <c r="V15">
        <f>IF('LL Revascularisation Summary'!$P$3=2, Q15, IF('LL Revascularisation Summary'!$P$3=1,L15))</f>
        <v>57.999998331069946</v>
      </c>
      <c r="W15" s="11">
        <f>IF('LL Revascularisation Summary'!$P$3=2, U15, IF('LL Revascularisation Summary'!$P$3=1,P15))</f>
        <v>12.000000476837158</v>
      </c>
      <c r="X15" s="11">
        <f>IF('LL Revascularisation Summary'!$P$3=2, T15, IF('LL Revascularisation Summary'!$P$3=1,O15))</f>
        <v>11.999997496604919</v>
      </c>
      <c r="Y15" s="59">
        <f t="shared" si="5"/>
        <v>0.48113207547169812</v>
      </c>
      <c r="Z15" s="59">
        <f t="shared" si="6"/>
        <v>0.20754716981132076</v>
      </c>
      <c r="AA15" s="59">
        <f t="shared" si="7"/>
        <v>0.31132075471698112</v>
      </c>
      <c r="AB15">
        <v>1</v>
      </c>
    </row>
    <row r="16" spans="1:28" x14ac:dyDescent="0.25">
      <c r="A16" t="s">
        <v>714</v>
      </c>
      <c r="B16" t="s">
        <v>715</v>
      </c>
      <c r="C16" s="124">
        <v>0</v>
      </c>
      <c r="D16" s="125" t="s">
        <v>276</v>
      </c>
      <c r="E16" s="129" t="s">
        <v>276</v>
      </c>
      <c r="F16" s="7" t="s">
        <v>284</v>
      </c>
      <c r="G16" s="7" t="s">
        <v>284</v>
      </c>
      <c r="H16" s="7" t="s">
        <v>284</v>
      </c>
      <c r="I16" s="127" t="s">
        <v>284</v>
      </c>
      <c r="J16" t="str">
        <f t="shared" si="0"/>
        <v>RXP</v>
      </c>
      <c r="K16">
        <v>74</v>
      </c>
      <c r="L16" t="s">
        <v>859</v>
      </c>
      <c r="M16" t="e">
        <v>#VALUE!</v>
      </c>
      <c r="N16" t="e">
        <v>#VALUE!</v>
      </c>
      <c r="O16" t="e">
        <f t="shared" si="1"/>
        <v>#VALUE!</v>
      </c>
      <c r="P16" t="e">
        <f t="shared" si="2"/>
        <v>#VALUE!</v>
      </c>
      <c r="Q16" s="11" t="e">
        <v>#VALUE!</v>
      </c>
      <c r="R16" t="e">
        <v>#VALUE!</v>
      </c>
      <c r="S16" t="e">
        <v>#VALUE!</v>
      </c>
      <c r="T16" t="e">
        <f t="shared" si="3"/>
        <v>#VALUE!</v>
      </c>
      <c r="U16" t="e">
        <f t="shared" si="4"/>
        <v>#VALUE!</v>
      </c>
      <c r="V16" t="e">
        <f>IF('LL Revascularisation Summary'!$P$3=2, Q16, IF('LL Revascularisation Summary'!$P$3=1,L16))</f>
        <v>#VALUE!</v>
      </c>
      <c r="W16" s="11" t="e">
        <f>IF('LL Revascularisation Summary'!$P$3=2, U16, IF('LL Revascularisation Summary'!$P$3=1,P16))</f>
        <v>#VALUE!</v>
      </c>
      <c r="X16" s="11" t="e">
        <f>IF('LL Revascularisation Summary'!$P$3=2, T16, IF('LL Revascularisation Summary'!$P$3=1,O16))</f>
        <v>#VALUE!</v>
      </c>
      <c r="Y16" s="59" t="e">
        <f t="shared" si="5"/>
        <v>#VALUE!</v>
      </c>
      <c r="Z16" s="59" t="e">
        <f t="shared" si="6"/>
        <v>#VALUE!</v>
      </c>
      <c r="AA16" s="59" t="e">
        <f t="shared" si="7"/>
        <v>#VALUE!</v>
      </c>
      <c r="AB16">
        <v>0</v>
      </c>
    </row>
    <row r="17" spans="1:28" x14ac:dyDescent="0.25">
      <c r="A17" t="s">
        <v>5</v>
      </c>
      <c r="B17" t="s">
        <v>354</v>
      </c>
      <c r="C17" s="124">
        <v>0</v>
      </c>
      <c r="D17" s="125" t="s">
        <v>276</v>
      </c>
      <c r="E17" s="129" t="s">
        <v>276</v>
      </c>
      <c r="F17" s="7" t="s">
        <v>284</v>
      </c>
      <c r="G17" s="7" t="s">
        <v>284</v>
      </c>
      <c r="H17" s="7" t="s">
        <v>284</v>
      </c>
      <c r="I17" s="127" t="s">
        <v>284</v>
      </c>
      <c r="J17" t="str">
        <f t="shared" si="0"/>
        <v>7A5</v>
      </c>
      <c r="K17">
        <v>75</v>
      </c>
      <c r="L17" t="s">
        <v>859</v>
      </c>
      <c r="M17" t="e">
        <v>#VALUE!</v>
      </c>
      <c r="N17" t="e">
        <v>#VALUE!</v>
      </c>
      <c r="O17" t="e">
        <f t="shared" si="1"/>
        <v>#VALUE!</v>
      </c>
      <c r="P17" t="e">
        <f t="shared" si="2"/>
        <v>#VALUE!</v>
      </c>
      <c r="Q17" s="11" t="e">
        <v>#VALUE!</v>
      </c>
      <c r="R17" t="e">
        <v>#VALUE!</v>
      </c>
      <c r="S17" t="e">
        <v>#VALUE!</v>
      </c>
      <c r="T17" t="e">
        <f t="shared" si="3"/>
        <v>#VALUE!</v>
      </c>
      <c r="U17" t="e">
        <f t="shared" si="4"/>
        <v>#VALUE!</v>
      </c>
      <c r="V17" t="e">
        <f>IF('LL Revascularisation Summary'!$P$3=2, Q17, IF('LL Revascularisation Summary'!$P$3=1,L17))</f>
        <v>#VALUE!</v>
      </c>
      <c r="W17" s="11" t="e">
        <f>IF('LL Revascularisation Summary'!$P$3=2, U17, IF('LL Revascularisation Summary'!$P$3=1,P17))</f>
        <v>#VALUE!</v>
      </c>
      <c r="X17" s="11" t="e">
        <f>IF('LL Revascularisation Summary'!$P$3=2, T17, IF('LL Revascularisation Summary'!$P$3=1,O17))</f>
        <v>#VALUE!</v>
      </c>
      <c r="Y17" s="59" t="e">
        <f t="shared" si="5"/>
        <v>#VALUE!</v>
      </c>
      <c r="Z17" s="59" t="e">
        <f t="shared" si="6"/>
        <v>#VALUE!</v>
      </c>
      <c r="AA17" s="59" t="e">
        <f t="shared" si="7"/>
        <v>#VALUE!</v>
      </c>
      <c r="AB17">
        <v>0</v>
      </c>
    </row>
    <row r="18" spans="1:28" x14ac:dyDescent="0.25">
      <c r="A18" t="s">
        <v>74</v>
      </c>
      <c r="B18" t="s">
        <v>355</v>
      </c>
      <c r="C18" s="124" t="s">
        <v>369</v>
      </c>
      <c r="D18" s="125" t="s">
        <v>284</v>
      </c>
      <c r="E18" s="126" t="s">
        <v>284</v>
      </c>
      <c r="F18" s="7" t="s">
        <v>284</v>
      </c>
      <c r="G18" s="7" t="s">
        <v>284</v>
      </c>
      <c r="H18" s="7" t="s">
        <v>284</v>
      </c>
      <c r="I18" s="127" t="s">
        <v>284</v>
      </c>
      <c r="J18" t="str">
        <f t="shared" si="0"/>
        <v>RP5</v>
      </c>
      <c r="K18">
        <v>67</v>
      </c>
      <c r="L18" t="s">
        <v>284</v>
      </c>
      <c r="M18" t="e">
        <v>#VALUE!</v>
      </c>
      <c r="N18" t="e">
        <v>#VALUE!</v>
      </c>
      <c r="O18" t="e">
        <f t="shared" si="1"/>
        <v>#VALUE!</v>
      </c>
      <c r="P18" t="e">
        <f t="shared" si="2"/>
        <v>#VALUE!</v>
      </c>
      <c r="Q18" s="11" t="e">
        <v>#VALUE!</v>
      </c>
      <c r="R18" s="11" t="e">
        <v>#VALUE!</v>
      </c>
      <c r="S18" s="11" t="e">
        <v>#VALUE!</v>
      </c>
      <c r="T18" t="e">
        <f t="shared" si="3"/>
        <v>#VALUE!</v>
      </c>
      <c r="U18" t="e">
        <f t="shared" si="4"/>
        <v>#VALUE!</v>
      </c>
      <c r="V18" t="e">
        <f>IF('LL Revascularisation Summary'!$P$3=2, Q18, IF('LL Revascularisation Summary'!$P$3=1,L18))</f>
        <v>#VALUE!</v>
      </c>
      <c r="W18" s="11" t="e">
        <f>IF('LL Revascularisation Summary'!$P$3=2, U18, IF('LL Revascularisation Summary'!$P$3=1,P18))</f>
        <v>#VALUE!</v>
      </c>
      <c r="X18" s="11" t="e">
        <f>IF('LL Revascularisation Summary'!$P$3=2, T18, IF('LL Revascularisation Summary'!$P$3=1,O18))</f>
        <v>#VALUE!</v>
      </c>
      <c r="Y18" s="59" t="e">
        <f t="shared" si="5"/>
        <v>#VALUE!</v>
      </c>
      <c r="Z18" s="59" t="e">
        <f t="shared" si="6"/>
        <v>#VALUE!</v>
      </c>
      <c r="AA18" s="59" t="e">
        <f t="shared" si="7"/>
        <v>#VALUE!</v>
      </c>
      <c r="AB18">
        <v>0</v>
      </c>
    </row>
    <row r="19" spans="1:28" x14ac:dyDescent="0.25">
      <c r="A19" t="s">
        <v>113</v>
      </c>
      <c r="B19" t="s">
        <v>114</v>
      </c>
      <c r="C19" s="124">
        <v>21</v>
      </c>
      <c r="D19" s="125" t="s">
        <v>716</v>
      </c>
      <c r="E19" s="126">
        <v>0.86000001430511475</v>
      </c>
      <c r="F19" s="7">
        <v>22</v>
      </c>
      <c r="G19" s="7">
        <v>19</v>
      </c>
      <c r="H19" s="7">
        <v>32</v>
      </c>
      <c r="I19" s="127">
        <v>73</v>
      </c>
      <c r="J19" t="str">
        <f t="shared" si="0"/>
        <v>RWH</v>
      </c>
      <c r="K19">
        <v>3</v>
      </c>
      <c r="L19" s="11">
        <v>3</v>
      </c>
      <c r="M19">
        <v>0</v>
      </c>
      <c r="N19">
        <v>4</v>
      </c>
      <c r="O19">
        <f t="shared" si="1"/>
        <v>3</v>
      </c>
      <c r="P19">
        <f t="shared" si="2"/>
        <v>1</v>
      </c>
      <c r="Q19" s="11">
        <v>86.000001430511475</v>
      </c>
      <c r="R19">
        <v>63.999998569488525</v>
      </c>
      <c r="S19">
        <v>97.000002861022949</v>
      </c>
      <c r="T19">
        <f t="shared" si="3"/>
        <v>22.000002861022949</v>
      </c>
      <c r="U19">
        <f t="shared" si="4"/>
        <v>11.000001430511475</v>
      </c>
      <c r="V19">
        <f>IF('LL Revascularisation Summary'!$P$3=2, Q19, IF('LL Revascularisation Summary'!$P$3=1,L19))</f>
        <v>86.000001430511475</v>
      </c>
      <c r="W19" s="11">
        <f>IF('LL Revascularisation Summary'!$P$3=2, U19, IF('LL Revascularisation Summary'!$P$3=1,P19))</f>
        <v>11.000001430511475</v>
      </c>
      <c r="X19" s="11">
        <f>IF('LL Revascularisation Summary'!$P$3=2, T19, IF('LL Revascularisation Summary'!$P$3=1,O19))</f>
        <v>22.000002861022949</v>
      </c>
      <c r="Y19" s="59">
        <f t="shared" si="5"/>
        <v>0.30136986301369861</v>
      </c>
      <c r="Z19" s="59">
        <f t="shared" si="6"/>
        <v>0.26027397260273971</v>
      </c>
      <c r="AA19" s="59">
        <f t="shared" si="7"/>
        <v>0.43835616438356162</v>
      </c>
      <c r="AB19">
        <v>1</v>
      </c>
    </row>
    <row r="20" spans="1:28" x14ac:dyDescent="0.25">
      <c r="A20" t="s">
        <v>102</v>
      </c>
      <c r="B20" t="s">
        <v>103</v>
      </c>
      <c r="C20" s="124">
        <v>31</v>
      </c>
      <c r="D20" s="125" t="s">
        <v>247</v>
      </c>
      <c r="E20" s="126">
        <v>0.68000000715255737</v>
      </c>
      <c r="F20" s="7">
        <v>25</v>
      </c>
      <c r="G20" s="7">
        <v>29</v>
      </c>
      <c r="H20" s="7">
        <v>35</v>
      </c>
      <c r="I20" s="127">
        <v>89</v>
      </c>
      <c r="J20" t="str">
        <f t="shared" si="0"/>
        <v>RVV</v>
      </c>
      <c r="K20">
        <v>11</v>
      </c>
      <c r="L20" s="11">
        <v>3</v>
      </c>
      <c r="M20">
        <v>1</v>
      </c>
      <c r="N20">
        <v>6</v>
      </c>
      <c r="O20">
        <f t="shared" si="1"/>
        <v>2</v>
      </c>
      <c r="P20">
        <f t="shared" si="2"/>
        <v>3</v>
      </c>
      <c r="Q20" s="11">
        <v>68.000000715255737</v>
      </c>
      <c r="R20">
        <v>49.000000953674316</v>
      </c>
      <c r="S20">
        <v>82.999998331069946</v>
      </c>
      <c r="T20">
        <f t="shared" si="3"/>
        <v>18.999999761581421</v>
      </c>
      <c r="U20">
        <f t="shared" si="4"/>
        <v>14.999997615814209</v>
      </c>
      <c r="V20">
        <f>IF('LL Revascularisation Summary'!$P$3=2, Q20, IF('LL Revascularisation Summary'!$P$3=1,L20))</f>
        <v>68.000000715255737</v>
      </c>
      <c r="W20" s="11">
        <f>IF('LL Revascularisation Summary'!$P$3=2, U20, IF('LL Revascularisation Summary'!$P$3=1,P20))</f>
        <v>14.999997615814209</v>
      </c>
      <c r="X20" s="11">
        <f>IF('LL Revascularisation Summary'!$P$3=2, T20, IF('LL Revascularisation Summary'!$P$3=1,O20))</f>
        <v>18.999999761581421</v>
      </c>
      <c r="Y20" s="59">
        <f t="shared" si="5"/>
        <v>0.2808988764044944</v>
      </c>
      <c r="Z20" s="59">
        <f t="shared" si="6"/>
        <v>0.3258426966292135</v>
      </c>
      <c r="AA20" s="59">
        <f t="shared" si="7"/>
        <v>0.39325842696629215</v>
      </c>
      <c r="AB20">
        <v>1</v>
      </c>
    </row>
    <row r="21" spans="1:28" x14ac:dyDescent="0.25">
      <c r="A21" t="s">
        <v>125</v>
      </c>
      <c r="B21" t="s">
        <v>126</v>
      </c>
      <c r="C21" s="124">
        <v>53</v>
      </c>
      <c r="D21" s="125" t="s">
        <v>180</v>
      </c>
      <c r="E21" s="126">
        <v>0.72000002861022949</v>
      </c>
      <c r="F21" s="7">
        <v>84</v>
      </c>
      <c r="G21" s="7">
        <v>63</v>
      </c>
      <c r="H21" s="7">
        <v>219</v>
      </c>
      <c r="I21" s="127">
        <v>366</v>
      </c>
      <c r="J21" t="str">
        <f t="shared" si="0"/>
        <v>RXR</v>
      </c>
      <c r="K21">
        <v>9</v>
      </c>
      <c r="L21" s="11">
        <v>3</v>
      </c>
      <c r="M21">
        <v>2</v>
      </c>
      <c r="N21">
        <v>6</v>
      </c>
      <c r="O21">
        <f t="shared" si="1"/>
        <v>1</v>
      </c>
      <c r="P21">
        <f t="shared" si="2"/>
        <v>3</v>
      </c>
      <c r="Q21" s="11">
        <v>72.000002861022949</v>
      </c>
      <c r="R21">
        <v>57.999998331069946</v>
      </c>
      <c r="S21">
        <v>82.999998331069946</v>
      </c>
      <c r="T21">
        <f t="shared" si="3"/>
        <v>14.000004529953003</v>
      </c>
      <c r="U21">
        <f t="shared" si="4"/>
        <v>10.999995470046997</v>
      </c>
      <c r="V21">
        <f>IF('LL Revascularisation Summary'!$P$3=2, Q21, IF('LL Revascularisation Summary'!$P$3=1,L21))</f>
        <v>72.000002861022949</v>
      </c>
      <c r="W21" s="11">
        <f>IF('LL Revascularisation Summary'!$P$3=2, U21, IF('LL Revascularisation Summary'!$P$3=1,P21))</f>
        <v>10.999995470046997</v>
      </c>
      <c r="X21" s="11">
        <f>IF('LL Revascularisation Summary'!$P$3=2, T21, IF('LL Revascularisation Summary'!$P$3=1,O21))</f>
        <v>14.000004529953003</v>
      </c>
      <c r="Y21" s="59">
        <f t="shared" si="5"/>
        <v>0.22950819672131148</v>
      </c>
      <c r="Z21" s="59">
        <f t="shared" si="6"/>
        <v>0.1721311475409836</v>
      </c>
      <c r="AA21" s="59">
        <f t="shared" si="7"/>
        <v>0.59836065573770492</v>
      </c>
      <c r="AB21">
        <v>1</v>
      </c>
    </row>
    <row r="22" spans="1:28" x14ac:dyDescent="0.25">
      <c r="A22" t="s">
        <v>29</v>
      </c>
      <c r="B22" t="s">
        <v>170</v>
      </c>
      <c r="C22" s="124">
        <v>49</v>
      </c>
      <c r="D22" s="125" t="s">
        <v>234</v>
      </c>
      <c r="E22" s="126">
        <v>0.52999997138977051</v>
      </c>
      <c r="F22" s="7">
        <v>40</v>
      </c>
      <c r="G22" s="7">
        <v>47</v>
      </c>
      <c r="H22" s="7">
        <v>100</v>
      </c>
      <c r="I22" s="127">
        <v>187</v>
      </c>
      <c r="J22" t="str">
        <f t="shared" si="0"/>
        <v>RDE</v>
      </c>
      <c r="K22">
        <v>35</v>
      </c>
      <c r="L22" s="11">
        <v>5</v>
      </c>
      <c r="M22">
        <v>2</v>
      </c>
      <c r="N22">
        <v>8</v>
      </c>
      <c r="O22">
        <f t="shared" si="1"/>
        <v>3</v>
      </c>
      <c r="P22">
        <f t="shared" si="2"/>
        <v>3</v>
      </c>
      <c r="Q22" s="11">
        <v>52.999997138977051</v>
      </c>
      <c r="R22">
        <v>37.999999523162842</v>
      </c>
      <c r="S22">
        <v>67.000001668930054</v>
      </c>
      <c r="T22">
        <f t="shared" si="3"/>
        <v>14.999997615814209</v>
      </c>
      <c r="U22">
        <f t="shared" si="4"/>
        <v>14.000004529953003</v>
      </c>
      <c r="V22">
        <f>IF('LL Revascularisation Summary'!$P$3=2, Q22, IF('LL Revascularisation Summary'!$P$3=1,L22))</f>
        <v>52.999997138977051</v>
      </c>
      <c r="W22" s="11">
        <f>IF('LL Revascularisation Summary'!$P$3=2, U22, IF('LL Revascularisation Summary'!$P$3=1,P22))</f>
        <v>14.000004529953003</v>
      </c>
      <c r="X22" s="11">
        <f>IF('LL Revascularisation Summary'!$P$3=2, T22, IF('LL Revascularisation Summary'!$P$3=1,O22))</f>
        <v>14.999997615814209</v>
      </c>
      <c r="Y22" s="59">
        <f t="shared" si="5"/>
        <v>0.21390374331550802</v>
      </c>
      <c r="Z22" s="59">
        <f t="shared" si="6"/>
        <v>0.25133689839572193</v>
      </c>
      <c r="AA22" s="59">
        <f t="shared" si="7"/>
        <v>0.53475935828877008</v>
      </c>
      <c r="AB22">
        <v>1</v>
      </c>
    </row>
    <row r="23" spans="1:28" x14ac:dyDescent="0.25">
      <c r="A23" t="s">
        <v>30</v>
      </c>
      <c r="B23" t="s">
        <v>31</v>
      </c>
      <c r="C23" s="124">
        <v>21</v>
      </c>
      <c r="D23" s="125" t="s">
        <v>210</v>
      </c>
      <c r="E23" s="126">
        <v>0.62000000476837158</v>
      </c>
      <c r="F23" s="7">
        <v>35</v>
      </c>
      <c r="G23" s="7">
        <v>24</v>
      </c>
      <c r="H23" s="7">
        <v>2</v>
      </c>
      <c r="I23" s="127">
        <v>61</v>
      </c>
      <c r="J23" t="str">
        <f t="shared" si="0"/>
        <v>RDU</v>
      </c>
      <c r="K23">
        <v>23</v>
      </c>
      <c r="L23" s="11">
        <v>4</v>
      </c>
      <c r="M23">
        <v>2</v>
      </c>
      <c r="N23">
        <v>9</v>
      </c>
      <c r="O23">
        <f t="shared" si="1"/>
        <v>2</v>
      </c>
      <c r="P23">
        <f t="shared" si="2"/>
        <v>5</v>
      </c>
      <c r="Q23" s="11">
        <v>62.000000476837158</v>
      </c>
      <c r="R23">
        <v>37.999999523162842</v>
      </c>
      <c r="S23">
        <v>81.999999284744263</v>
      </c>
      <c r="T23">
        <f t="shared" si="3"/>
        <v>24.000000953674316</v>
      </c>
      <c r="U23">
        <f t="shared" si="4"/>
        <v>19.999998807907104</v>
      </c>
      <c r="V23">
        <f>IF('LL Revascularisation Summary'!$P$3=2, Q23, IF('LL Revascularisation Summary'!$P$3=1,L23))</f>
        <v>62.000000476837158</v>
      </c>
      <c r="W23" s="11">
        <f>IF('LL Revascularisation Summary'!$P$3=2, U23, IF('LL Revascularisation Summary'!$P$3=1,P23))</f>
        <v>19.999998807907104</v>
      </c>
      <c r="X23" s="11">
        <f>IF('LL Revascularisation Summary'!$P$3=2, T23, IF('LL Revascularisation Summary'!$P$3=1,O23))</f>
        <v>24.000000953674316</v>
      </c>
      <c r="Y23" s="59">
        <f t="shared" si="5"/>
        <v>0.57377049180327866</v>
      </c>
      <c r="Z23" s="59">
        <f t="shared" si="6"/>
        <v>0.39344262295081966</v>
      </c>
      <c r="AA23" s="59">
        <f t="shared" si="7"/>
        <v>3.2786885245901641E-2</v>
      </c>
      <c r="AB23">
        <v>1</v>
      </c>
    </row>
    <row r="24" spans="1:28" x14ac:dyDescent="0.25">
      <c r="A24" t="s">
        <v>81</v>
      </c>
      <c r="B24" t="s">
        <v>82</v>
      </c>
      <c r="C24" s="124">
        <v>0</v>
      </c>
      <c r="D24" s="125" t="s">
        <v>276</v>
      </c>
      <c r="E24" s="129" t="s">
        <v>276</v>
      </c>
      <c r="F24" s="7" t="s">
        <v>284</v>
      </c>
      <c r="G24" s="7" t="s">
        <v>284</v>
      </c>
      <c r="H24" s="7" t="s">
        <v>284</v>
      </c>
      <c r="I24" s="127" t="s">
        <v>284</v>
      </c>
      <c r="J24" t="str">
        <f t="shared" si="0"/>
        <v>RR7</v>
      </c>
      <c r="K24">
        <v>76</v>
      </c>
      <c r="L24" t="s">
        <v>859</v>
      </c>
      <c r="M24" t="e">
        <v>#VALUE!</v>
      </c>
      <c r="N24" t="e">
        <v>#VALUE!</v>
      </c>
      <c r="O24" t="e">
        <f t="shared" si="1"/>
        <v>#VALUE!</v>
      </c>
      <c r="P24" t="e">
        <f t="shared" si="2"/>
        <v>#VALUE!</v>
      </c>
      <c r="Q24" s="11" t="e">
        <v>#VALUE!</v>
      </c>
      <c r="R24" t="e">
        <v>#VALUE!</v>
      </c>
      <c r="S24" t="e">
        <v>#VALUE!</v>
      </c>
      <c r="T24" t="e">
        <f t="shared" si="3"/>
        <v>#VALUE!</v>
      </c>
      <c r="U24" t="e">
        <f t="shared" si="4"/>
        <v>#VALUE!</v>
      </c>
      <c r="V24" t="e">
        <f>IF('LL Revascularisation Summary'!$P$3=2, Q24, IF('LL Revascularisation Summary'!$P$3=1,L24))</f>
        <v>#VALUE!</v>
      </c>
      <c r="W24" s="11" t="e">
        <f>IF('LL Revascularisation Summary'!$P$3=2, U24, IF('LL Revascularisation Summary'!$P$3=1,P24))</f>
        <v>#VALUE!</v>
      </c>
      <c r="X24" s="11" t="e">
        <f>IF('LL Revascularisation Summary'!$P$3=2, T24, IF('LL Revascularisation Summary'!$P$3=1,O24))</f>
        <v>#VALUE!</v>
      </c>
      <c r="Y24" s="59" t="e">
        <f t="shared" si="5"/>
        <v>#VALUE!</v>
      </c>
      <c r="Z24" s="59" t="e">
        <f t="shared" si="6"/>
        <v>#VALUE!</v>
      </c>
      <c r="AA24" s="59" t="e">
        <f t="shared" si="7"/>
        <v>#VALUE!</v>
      </c>
      <c r="AB24">
        <v>0</v>
      </c>
    </row>
    <row r="25" spans="1:28" x14ac:dyDescent="0.25">
      <c r="A25" t="s">
        <v>93</v>
      </c>
      <c r="B25" t="s">
        <v>94</v>
      </c>
      <c r="C25" s="124">
        <v>27</v>
      </c>
      <c r="D25" s="125" t="s">
        <v>180</v>
      </c>
      <c r="E25" s="126">
        <v>0.5899999737739563</v>
      </c>
      <c r="F25" s="7">
        <v>60</v>
      </c>
      <c r="G25" s="7">
        <v>27</v>
      </c>
      <c r="H25" s="7">
        <v>31</v>
      </c>
      <c r="I25" s="127">
        <v>118</v>
      </c>
      <c r="J25" t="str">
        <f t="shared" si="0"/>
        <v>RTE</v>
      </c>
      <c r="K25">
        <v>27</v>
      </c>
      <c r="L25" s="11">
        <v>3</v>
      </c>
      <c r="M25">
        <v>2</v>
      </c>
      <c r="N25">
        <v>6</v>
      </c>
      <c r="O25">
        <f t="shared" si="1"/>
        <v>1</v>
      </c>
      <c r="P25">
        <f t="shared" si="2"/>
        <v>3</v>
      </c>
      <c r="Q25" s="11">
        <v>58.99999737739563</v>
      </c>
      <c r="R25">
        <v>38.999998569488525</v>
      </c>
      <c r="S25">
        <v>77.999997138977051</v>
      </c>
      <c r="T25">
        <f t="shared" si="3"/>
        <v>19.999998807907104</v>
      </c>
      <c r="U25">
        <f t="shared" si="4"/>
        <v>18.999999761581421</v>
      </c>
      <c r="V25">
        <f>IF('LL Revascularisation Summary'!$P$3=2, Q25, IF('LL Revascularisation Summary'!$P$3=1,L25))</f>
        <v>58.99999737739563</v>
      </c>
      <c r="W25" s="11">
        <f>IF('LL Revascularisation Summary'!$P$3=2, U25, IF('LL Revascularisation Summary'!$P$3=1,P25))</f>
        <v>18.999999761581421</v>
      </c>
      <c r="X25" s="11">
        <f>IF('LL Revascularisation Summary'!$P$3=2, T25, IF('LL Revascularisation Summary'!$P$3=1,O25))</f>
        <v>19.999998807907104</v>
      </c>
      <c r="Y25" s="59">
        <f t="shared" si="5"/>
        <v>0.50847457627118642</v>
      </c>
      <c r="Z25" s="59">
        <f t="shared" si="6"/>
        <v>0.2288135593220339</v>
      </c>
      <c r="AA25" s="59">
        <f t="shared" si="7"/>
        <v>0.26271186440677968</v>
      </c>
      <c r="AB25">
        <v>1</v>
      </c>
    </row>
    <row r="26" spans="1:28" x14ac:dyDescent="0.25">
      <c r="A26" t="s">
        <v>213</v>
      </c>
      <c r="B26" t="s">
        <v>280</v>
      </c>
      <c r="C26" s="124">
        <v>0</v>
      </c>
      <c r="D26" s="125" t="s">
        <v>276</v>
      </c>
      <c r="E26" s="129" t="s">
        <v>276</v>
      </c>
      <c r="F26" s="7" t="s">
        <v>284</v>
      </c>
      <c r="G26" s="7" t="s">
        <v>284</v>
      </c>
      <c r="H26" s="7" t="s">
        <v>284</v>
      </c>
      <c r="I26" s="127" t="s">
        <v>284</v>
      </c>
      <c r="J26" t="str">
        <f t="shared" si="0"/>
        <v>RN3</v>
      </c>
      <c r="K26">
        <v>77</v>
      </c>
      <c r="L26" t="s">
        <v>859</v>
      </c>
      <c r="M26" t="e">
        <v>#VALUE!</v>
      </c>
      <c r="N26" t="e">
        <v>#VALUE!</v>
      </c>
      <c r="O26" t="e">
        <f t="shared" si="1"/>
        <v>#VALUE!</v>
      </c>
      <c r="P26" t="e">
        <f t="shared" si="2"/>
        <v>#VALUE!</v>
      </c>
      <c r="Q26" s="11" t="e">
        <v>#VALUE!</v>
      </c>
      <c r="R26" t="e">
        <v>#VALUE!</v>
      </c>
      <c r="S26" t="e">
        <v>#VALUE!</v>
      </c>
      <c r="T26" t="e">
        <f t="shared" si="3"/>
        <v>#VALUE!</v>
      </c>
      <c r="U26" t="e">
        <f t="shared" si="4"/>
        <v>#VALUE!</v>
      </c>
      <c r="V26" t="e">
        <f>IF('LL Revascularisation Summary'!$P$3=2, Q26, IF('LL Revascularisation Summary'!$P$3=1,L26))</f>
        <v>#VALUE!</v>
      </c>
      <c r="W26" s="11" t="e">
        <f>IF('LL Revascularisation Summary'!$P$3=2, U26, IF('LL Revascularisation Summary'!$P$3=1,P26))</f>
        <v>#VALUE!</v>
      </c>
      <c r="X26" s="11" t="e">
        <f>IF('LL Revascularisation Summary'!$P$3=2, T26, IF('LL Revascularisation Summary'!$P$3=1,O26))</f>
        <v>#VALUE!</v>
      </c>
      <c r="Y26" s="59" t="e">
        <f t="shared" si="5"/>
        <v>#VALUE!</v>
      </c>
      <c r="Z26" s="59" t="e">
        <f t="shared" si="6"/>
        <v>#VALUE!</v>
      </c>
      <c r="AA26" s="59" t="e">
        <f t="shared" si="7"/>
        <v>#VALUE!</v>
      </c>
      <c r="AB26">
        <v>0</v>
      </c>
    </row>
    <row r="27" spans="1:28" x14ac:dyDescent="0.25">
      <c r="A27" t="s">
        <v>50</v>
      </c>
      <c r="B27" t="s">
        <v>51</v>
      </c>
      <c r="C27" s="124">
        <v>135</v>
      </c>
      <c r="D27" s="125" t="s">
        <v>246</v>
      </c>
      <c r="E27" s="126">
        <v>0.4699999988079071</v>
      </c>
      <c r="F27" s="7">
        <v>75</v>
      </c>
      <c r="G27" s="7">
        <v>88</v>
      </c>
      <c r="H27" s="7">
        <v>345</v>
      </c>
      <c r="I27" s="127">
        <v>508</v>
      </c>
      <c r="J27" t="str">
        <f t="shared" si="0"/>
        <v>RJ1</v>
      </c>
      <c r="K27">
        <v>44</v>
      </c>
      <c r="L27" s="11">
        <v>6</v>
      </c>
      <c r="M27">
        <v>3</v>
      </c>
      <c r="N27">
        <v>10</v>
      </c>
      <c r="O27">
        <f t="shared" si="1"/>
        <v>3</v>
      </c>
      <c r="P27">
        <f t="shared" si="2"/>
        <v>4</v>
      </c>
      <c r="Q27" s="11">
        <v>46.99999988079071</v>
      </c>
      <c r="R27">
        <v>38.999998569488525</v>
      </c>
      <c r="S27">
        <v>56.000000238418579</v>
      </c>
      <c r="T27">
        <f t="shared" si="3"/>
        <v>8.0000013113021851</v>
      </c>
      <c r="U27">
        <f t="shared" si="4"/>
        <v>9.0000003576278687</v>
      </c>
      <c r="V27">
        <f>IF('LL Revascularisation Summary'!$P$3=2, Q27, IF('LL Revascularisation Summary'!$P$3=1,L27))</f>
        <v>46.99999988079071</v>
      </c>
      <c r="W27" s="11">
        <f>IF('LL Revascularisation Summary'!$P$3=2, U27, IF('LL Revascularisation Summary'!$P$3=1,P27))</f>
        <v>9.0000003576278687</v>
      </c>
      <c r="X27" s="11">
        <f>IF('LL Revascularisation Summary'!$P$3=2, T27, IF('LL Revascularisation Summary'!$P$3=1,O27))</f>
        <v>8.0000013113021851</v>
      </c>
      <c r="Y27" s="59">
        <f t="shared" si="5"/>
        <v>0.14763779527559054</v>
      </c>
      <c r="Z27" s="59">
        <f t="shared" si="6"/>
        <v>0.17322834645669291</v>
      </c>
      <c r="AA27" s="59">
        <f t="shared" si="7"/>
        <v>0.67913385826771655</v>
      </c>
      <c r="AB27">
        <v>1</v>
      </c>
    </row>
    <row r="28" spans="1:28" x14ac:dyDescent="0.25">
      <c r="A28" t="s">
        <v>214</v>
      </c>
      <c r="B28" t="s">
        <v>281</v>
      </c>
      <c r="C28" s="124">
        <v>0</v>
      </c>
      <c r="D28" s="125" t="s">
        <v>276</v>
      </c>
      <c r="E28" s="129" t="s">
        <v>276</v>
      </c>
      <c r="F28" s="7" t="s">
        <v>284</v>
      </c>
      <c r="G28" s="7" t="s">
        <v>284</v>
      </c>
      <c r="H28" s="7" t="s">
        <v>284</v>
      </c>
      <c r="I28" s="127" t="s">
        <v>284</v>
      </c>
      <c r="J28" t="str">
        <f t="shared" si="0"/>
        <v>RN5</v>
      </c>
      <c r="K28">
        <v>78</v>
      </c>
      <c r="L28" t="s">
        <v>859</v>
      </c>
      <c r="M28" t="e">
        <v>#VALUE!</v>
      </c>
      <c r="N28" t="e">
        <v>#VALUE!</v>
      </c>
      <c r="O28" t="e">
        <f t="shared" si="1"/>
        <v>#VALUE!</v>
      </c>
      <c r="P28" t="e">
        <f t="shared" si="2"/>
        <v>#VALUE!</v>
      </c>
      <c r="Q28" s="11" t="e">
        <v>#VALUE!</v>
      </c>
      <c r="R28" t="e">
        <v>#VALUE!</v>
      </c>
      <c r="S28" t="e">
        <v>#VALUE!</v>
      </c>
      <c r="T28" t="e">
        <f t="shared" si="3"/>
        <v>#VALUE!</v>
      </c>
      <c r="U28" t="e">
        <f t="shared" si="4"/>
        <v>#VALUE!</v>
      </c>
      <c r="V28" t="e">
        <f>IF('LL Revascularisation Summary'!$P$3=2, Q28, IF('LL Revascularisation Summary'!$P$3=1,L28))</f>
        <v>#VALUE!</v>
      </c>
      <c r="W28" s="11" t="e">
        <f>IF('LL Revascularisation Summary'!$P$3=2, U28, IF('LL Revascularisation Summary'!$P$3=1,P28))</f>
        <v>#VALUE!</v>
      </c>
      <c r="X28" s="11" t="e">
        <f>IF('LL Revascularisation Summary'!$P$3=2, T28, IF('LL Revascularisation Summary'!$P$3=1,O28))</f>
        <v>#VALUE!</v>
      </c>
      <c r="Y28" s="59" t="e">
        <f t="shared" si="5"/>
        <v>#VALUE!</v>
      </c>
      <c r="Z28" s="59" t="e">
        <f t="shared" si="6"/>
        <v>#VALUE!</v>
      </c>
      <c r="AA28" s="59" t="e">
        <f t="shared" si="7"/>
        <v>#VALUE!</v>
      </c>
      <c r="AB28">
        <v>0</v>
      </c>
    </row>
    <row r="29" spans="1:28" x14ac:dyDescent="0.25">
      <c r="A29" t="s">
        <v>106</v>
      </c>
      <c r="B29" t="s">
        <v>356</v>
      </c>
      <c r="C29" s="124">
        <v>104</v>
      </c>
      <c r="D29" s="125" t="s">
        <v>192</v>
      </c>
      <c r="E29" s="126">
        <v>0.62999999523162842</v>
      </c>
      <c r="F29" s="7">
        <v>125</v>
      </c>
      <c r="G29" s="7">
        <v>7</v>
      </c>
      <c r="H29" s="7">
        <v>386</v>
      </c>
      <c r="I29" s="127">
        <v>518</v>
      </c>
      <c r="J29" t="str">
        <f t="shared" si="0"/>
        <v>RWA</v>
      </c>
      <c r="K29">
        <v>20</v>
      </c>
      <c r="L29" s="11">
        <v>4</v>
      </c>
      <c r="M29">
        <v>2</v>
      </c>
      <c r="N29">
        <v>7</v>
      </c>
      <c r="O29">
        <f t="shared" si="1"/>
        <v>2</v>
      </c>
      <c r="P29">
        <f t="shared" si="2"/>
        <v>3</v>
      </c>
      <c r="Q29" s="11">
        <v>62.999999523162842</v>
      </c>
      <c r="R29">
        <v>52.999997138977051</v>
      </c>
      <c r="S29">
        <v>73.000001907348633</v>
      </c>
      <c r="T29">
        <f t="shared" si="3"/>
        <v>10.000002384185791</v>
      </c>
      <c r="U29">
        <f t="shared" si="4"/>
        <v>10.000002384185791</v>
      </c>
      <c r="V29">
        <f>IF('LL Revascularisation Summary'!$P$3=2, Q29, IF('LL Revascularisation Summary'!$P$3=1,L29))</f>
        <v>62.999999523162842</v>
      </c>
      <c r="W29" s="11">
        <f>IF('LL Revascularisation Summary'!$P$3=2, U29, IF('LL Revascularisation Summary'!$P$3=1,P29))</f>
        <v>10.000002384185791</v>
      </c>
      <c r="X29" s="11">
        <f>IF('LL Revascularisation Summary'!$P$3=2, T29, IF('LL Revascularisation Summary'!$P$3=1,O29))</f>
        <v>10.000002384185791</v>
      </c>
      <c r="Y29" s="59">
        <f t="shared" si="5"/>
        <v>0.2413127413127413</v>
      </c>
      <c r="Z29" s="59">
        <f t="shared" si="6"/>
        <v>1.3513513513513514E-2</v>
      </c>
      <c r="AA29" s="59">
        <f t="shared" si="7"/>
        <v>0.74517374517374513</v>
      </c>
      <c r="AB29">
        <v>1</v>
      </c>
    </row>
    <row r="30" spans="1:28" x14ac:dyDescent="0.25">
      <c r="A30" t="s">
        <v>129</v>
      </c>
      <c r="B30" t="s">
        <v>130</v>
      </c>
      <c r="C30" s="124">
        <v>83</v>
      </c>
      <c r="D30" s="125" t="s">
        <v>234</v>
      </c>
      <c r="E30" s="126">
        <v>0.56999999284744263</v>
      </c>
      <c r="F30" s="7">
        <v>110</v>
      </c>
      <c r="G30" s="7">
        <v>13</v>
      </c>
      <c r="H30" s="7">
        <v>183</v>
      </c>
      <c r="I30" s="127">
        <v>306</v>
      </c>
      <c r="J30" t="str">
        <f t="shared" si="0"/>
        <v>RYJ</v>
      </c>
      <c r="K30">
        <v>30</v>
      </c>
      <c r="L30" s="11">
        <v>5</v>
      </c>
      <c r="M30">
        <v>2</v>
      </c>
      <c r="N30">
        <v>8</v>
      </c>
      <c r="O30">
        <f t="shared" si="1"/>
        <v>3</v>
      </c>
      <c r="P30">
        <f t="shared" si="2"/>
        <v>3</v>
      </c>
      <c r="Q30" s="11">
        <v>56.999999284744263</v>
      </c>
      <c r="R30">
        <v>44.999998807907104</v>
      </c>
      <c r="S30">
        <v>67.000001668930054</v>
      </c>
      <c r="T30">
        <f t="shared" si="3"/>
        <v>12.000000476837158</v>
      </c>
      <c r="U30">
        <f t="shared" si="4"/>
        <v>10.000002384185791</v>
      </c>
      <c r="V30">
        <f>IF('LL Revascularisation Summary'!$P$3=2, Q30, IF('LL Revascularisation Summary'!$P$3=1,L30))</f>
        <v>56.999999284744263</v>
      </c>
      <c r="W30" s="11">
        <f>IF('LL Revascularisation Summary'!$P$3=2, U30, IF('LL Revascularisation Summary'!$P$3=1,P30))</f>
        <v>10.000002384185791</v>
      </c>
      <c r="X30" s="11">
        <f>IF('LL Revascularisation Summary'!$P$3=2, T30, IF('LL Revascularisation Summary'!$P$3=1,O30))</f>
        <v>12.000000476837158</v>
      </c>
      <c r="Y30" s="59">
        <f t="shared" si="5"/>
        <v>0.35947712418300654</v>
      </c>
      <c r="Z30" s="59">
        <f t="shared" si="6"/>
        <v>4.2483660130718956E-2</v>
      </c>
      <c r="AA30" s="59">
        <f t="shared" si="7"/>
        <v>0.59803921568627449</v>
      </c>
      <c r="AB30">
        <v>1</v>
      </c>
    </row>
    <row r="31" spans="1:28" x14ac:dyDescent="0.25">
      <c r="A31" t="s">
        <v>58</v>
      </c>
      <c r="B31" t="s">
        <v>59</v>
      </c>
      <c r="C31" s="124">
        <v>11</v>
      </c>
      <c r="D31" s="125" t="s">
        <v>569</v>
      </c>
      <c r="E31" s="126">
        <v>0.55000001192092896</v>
      </c>
      <c r="F31" s="7">
        <v>69</v>
      </c>
      <c r="G31" s="7">
        <v>16</v>
      </c>
      <c r="H31" s="7">
        <v>50</v>
      </c>
      <c r="I31" s="127">
        <v>135</v>
      </c>
      <c r="J31" t="str">
        <f t="shared" si="0"/>
        <v>RJZ</v>
      </c>
      <c r="K31">
        <v>31</v>
      </c>
      <c r="L31" s="11">
        <v>5</v>
      </c>
      <c r="M31">
        <v>3</v>
      </c>
      <c r="N31">
        <v>12</v>
      </c>
      <c r="O31">
        <f t="shared" si="1"/>
        <v>2</v>
      </c>
      <c r="P31">
        <f t="shared" si="2"/>
        <v>7</v>
      </c>
      <c r="Q31" s="11">
        <v>55.000001192092896</v>
      </c>
      <c r="R31">
        <v>23.000000417232513</v>
      </c>
      <c r="S31">
        <v>82.999998331069946</v>
      </c>
      <c r="T31">
        <f t="shared" si="3"/>
        <v>32.000000774860382</v>
      </c>
      <c r="U31">
        <f t="shared" si="4"/>
        <v>27.999997138977051</v>
      </c>
      <c r="V31">
        <f>IF('LL Revascularisation Summary'!$P$3=2, Q31, IF('LL Revascularisation Summary'!$P$3=1,L31))</f>
        <v>55.000001192092896</v>
      </c>
      <c r="W31" s="11">
        <f>IF('LL Revascularisation Summary'!$P$3=2, U31, IF('LL Revascularisation Summary'!$P$3=1,P31))</f>
        <v>27.999997138977051</v>
      </c>
      <c r="X31" s="11">
        <f>IF('LL Revascularisation Summary'!$P$3=2, T31, IF('LL Revascularisation Summary'!$P$3=1,O31))</f>
        <v>32.000000774860382</v>
      </c>
      <c r="Y31" s="59">
        <f t="shared" si="5"/>
        <v>0.51111111111111107</v>
      </c>
      <c r="Z31" s="59">
        <f t="shared" si="6"/>
        <v>0.11851851851851852</v>
      </c>
      <c r="AA31" s="59">
        <f t="shared" si="7"/>
        <v>0.37037037037037035</v>
      </c>
      <c r="AB31">
        <v>1</v>
      </c>
    </row>
    <row r="32" spans="1:28" x14ac:dyDescent="0.25">
      <c r="A32" t="s">
        <v>123</v>
      </c>
      <c r="B32" t="s">
        <v>124</v>
      </c>
      <c r="C32" s="124">
        <v>139</v>
      </c>
      <c r="D32" s="125" t="s">
        <v>179</v>
      </c>
      <c r="E32" s="126">
        <v>0.52999997138977051</v>
      </c>
      <c r="F32" s="7">
        <v>89</v>
      </c>
      <c r="G32" s="7">
        <v>71</v>
      </c>
      <c r="H32" s="7">
        <v>221</v>
      </c>
      <c r="I32" s="127">
        <v>381</v>
      </c>
      <c r="J32" t="str">
        <f t="shared" si="0"/>
        <v>RXN</v>
      </c>
      <c r="K32">
        <v>36</v>
      </c>
      <c r="L32" s="11">
        <v>5</v>
      </c>
      <c r="M32">
        <v>3</v>
      </c>
      <c r="N32">
        <v>7</v>
      </c>
      <c r="O32">
        <f t="shared" si="1"/>
        <v>2</v>
      </c>
      <c r="P32">
        <f t="shared" si="2"/>
        <v>2</v>
      </c>
      <c r="Q32" s="11">
        <v>52.999997138977051</v>
      </c>
      <c r="R32">
        <v>44.999998807907104</v>
      </c>
      <c r="S32">
        <v>62.000000476837158</v>
      </c>
      <c r="T32">
        <f t="shared" si="3"/>
        <v>7.9999983310699463</v>
      </c>
      <c r="U32">
        <f t="shared" si="4"/>
        <v>9.0000033378601074</v>
      </c>
      <c r="V32">
        <f>IF('LL Revascularisation Summary'!$P$3=2, Q32, IF('LL Revascularisation Summary'!$P$3=1,L32))</f>
        <v>52.999997138977051</v>
      </c>
      <c r="W32" s="11">
        <f>IF('LL Revascularisation Summary'!$P$3=2, U32, IF('LL Revascularisation Summary'!$P$3=1,P32))</f>
        <v>9.0000033378601074</v>
      </c>
      <c r="X32" s="11">
        <f>IF('LL Revascularisation Summary'!$P$3=2, T32, IF('LL Revascularisation Summary'!$P$3=1,O32))</f>
        <v>7.9999983310699463</v>
      </c>
      <c r="Y32" s="59">
        <f t="shared" si="5"/>
        <v>0.23359580052493439</v>
      </c>
      <c r="Z32" s="59">
        <f t="shared" si="6"/>
        <v>0.18635170603674542</v>
      </c>
      <c r="AA32" s="59">
        <f t="shared" si="7"/>
        <v>0.58005249343832022</v>
      </c>
      <c r="AB32">
        <v>1</v>
      </c>
    </row>
    <row r="33" spans="1:28" x14ac:dyDescent="0.25">
      <c r="A33" t="s">
        <v>83</v>
      </c>
      <c r="B33" t="s">
        <v>84</v>
      </c>
      <c r="C33" s="124">
        <v>36</v>
      </c>
      <c r="D33" s="125" t="s">
        <v>688</v>
      </c>
      <c r="E33" s="126">
        <v>0.33000001311302185</v>
      </c>
      <c r="F33" s="7">
        <v>55</v>
      </c>
      <c r="G33" s="7">
        <v>16</v>
      </c>
      <c r="H33" s="7">
        <v>1</v>
      </c>
      <c r="I33" s="127">
        <v>72</v>
      </c>
      <c r="J33" t="str">
        <f t="shared" si="0"/>
        <v>RR8</v>
      </c>
      <c r="K33">
        <v>60</v>
      </c>
      <c r="L33" s="11">
        <v>9</v>
      </c>
      <c r="M33">
        <v>5</v>
      </c>
      <c r="N33">
        <v>14</v>
      </c>
      <c r="O33">
        <f t="shared" si="1"/>
        <v>4</v>
      </c>
      <c r="P33">
        <f t="shared" si="2"/>
        <v>5</v>
      </c>
      <c r="Q33" s="11">
        <v>33.000001311302185</v>
      </c>
      <c r="R33">
        <v>18.999999761581421</v>
      </c>
      <c r="S33">
        <v>50.999999046325684</v>
      </c>
      <c r="T33">
        <f t="shared" si="3"/>
        <v>14.000001549720764</v>
      </c>
      <c r="U33">
        <f t="shared" si="4"/>
        <v>17.999997735023499</v>
      </c>
      <c r="V33">
        <f>IF('LL Revascularisation Summary'!$P$3=2, Q33, IF('LL Revascularisation Summary'!$P$3=1,L33))</f>
        <v>33.000001311302185</v>
      </c>
      <c r="W33" s="11">
        <f>IF('LL Revascularisation Summary'!$P$3=2, U33, IF('LL Revascularisation Summary'!$P$3=1,P33))</f>
        <v>17.999997735023499</v>
      </c>
      <c r="X33" s="11">
        <f>IF('LL Revascularisation Summary'!$P$3=2, T33, IF('LL Revascularisation Summary'!$P$3=1,O33))</f>
        <v>14.000001549720764</v>
      </c>
      <c r="Y33" s="59">
        <f t="shared" si="5"/>
        <v>0.76388888888888884</v>
      </c>
      <c r="Z33" s="59">
        <f t="shared" si="6"/>
        <v>0.22222222222222221</v>
      </c>
      <c r="AA33" s="59">
        <f t="shared" si="7"/>
        <v>1.3888888888888888E-2</v>
      </c>
      <c r="AB33">
        <v>1</v>
      </c>
    </row>
    <row r="34" spans="1:28" x14ac:dyDescent="0.25">
      <c r="A34" t="s">
        <v>34</v>
      </c>
      <c r="B34" t="s">
        <v>357</v>
      </c>
      <c r="C34" s="124">
        <v>134</v>
      </c>
      <c r="D34" s="125" t="s">
        <v>176</v>
      </c>
      <c r="E34" s="126">
        <v>0.37999999523162842</v>
      </c>
      <c r="F34" s="7">
        <v>123</v>
      </c>
      <c r="G34" s="7">
        <v>48</v>
      </c>
      <c r="H34" s="7">
        <v>173</v>
      </c>
      <c r="I34" s="127">
        <v>344</v>
      </c>
      <c r="J34" t="str">
        <f t="shared" si="0"/>
        <v>REM</v>
      </c>
      <c r="K34">
        <v>53</v>
      </c>
      <c r="L34" s="11">
        <v>7</v>
      </c>
      <c r="M34">
        <v>4</v>
      </c>
      <c r="N34">
        <v>13</v>
      </c>
      <c r="O34">
        <f t="shared" si="1"/>
        <v>3</v>
      </c>
      <c r="P34">
        <f t="shared" si="2"/>
        <v>6</v>
      </c>
      <c r="Q34" s="11">
        <v>37.999999523162842</v>
      </c>
      <c r="R34">
        <v>30.000001192092896</v>
      </c>
      <c r="S34">
        <v>46.99999988079071</v>
      </c>
      <c r="T34">
        <f t="shared" si="3"/>
        <v>7.9999983310699463</v>
      </c>
      <c r="U34">
        <f t="shared" si="4"/>
        <v>9.0000003576278687</v>
      </c>
      <c r="V34">
        <f>IF('LL Revascularisation Summary'!$P$3=2, Q34, IF('LL Revascularisation Summary'!$P$3=1,L34))</f>
        <v>37.999999523162842</v>
      </c>
      <c r="W34" s="11">
        <f>IF('LL Revascularisation Summary'!$P$3=2, U34, IF('LL Revascularisation Summary'!$P$3=1,P34))</f>
        <v>9.0000003576278687</v>
      </c>
      <c r="X34" s="11">
        <f>IF('LL Revascularisation Summary'!$P$3=2, T34, IF('LL Revascularisation Summary'!$P$3=1,O34))</f>
        <v>7.9999983310699463</v>
      </c>
      <c r="Y34" s="59">
        <f t="shared" si="5"/>
        <v>0.35755813953488375</v>
      </c>
      <c r="Z34" s="59">
        <f t="shared" si="6"/>
        <v>0.13953488372093023</v>
      </c>
      <c r="AA34" s="59">
        <f t="shared" si="7"/>
        <v>0.50290697674418605</v>
      </c>
      <c r="AB34">
        <v>1</v>
      </c>
    </row>
    <row r="35" spans="1:28" x14ac:dyDescent="0.25">
      <c r="A35" t="s">
        <v>12</v>
      </c>
      <c r="B35" t="s">
        <v>358</v>
      </c>
      <c r="C35" s="124">
        <v>80</v>
      </c>
      <c r="D35" s="125" t="s">
        <v>181</v>
      </c>
      <c r="E35" s="126">
        <v>0.63999998569488525</v>
      </c>
      <c r="F35" s="7">
        <v>5</v>
      </c>
      <c r="G35" s="7">
        <v>33</v>
      </c>
      <c r="H35" s="7">
        <v>171</v>
      </c>
      <c r="I35" s="127">
        <v>209</v>
      </c>
      <c r="J35" t="str">
        <f t="shared" si="0"/>
        <v>R1K</v>
      </c>
      <c r="K35">
        <v>16</v>
      </c>
      <c r="L35" s="11">
        <v>4</v>
      </c>
      <c r="M35">
        <v>2</v>
      </c>
      <c r="N35">
        <v>8</v>
      </c>
      <c r="O35">
        <f t="shared" si="1"/>
        <v>2</v>
      </c>
      <c r="P35">
        <f t="shared" si="2"/>
        <v>4</v>
      </c>
      <c r="Q35" s="11">
        <v>63.999998569488525</v>
      </c>
      <c r="R35">
        <v>51.999998092651367</v>
      </c>
      <c r="S35">
        <v>74.000000953674316</v>
      </c>
      <c r="T35">
        <f t="shared" si="3"/>
        <v>12.000000476837158</v>
      </c>
      <c r="U35">
        <f t="shared" si="4"/>
        <v>10.000002384185791</v>
      </c>
      <c r="V35">
        <f>IF('LL Revascularisation Summary'!$P$3=2, Q35, IF('LL Revascularisation Summary'!$P$3=1,L35))</f>
        <v>63.999998569488525</v>
      </c>
      <c r="W35" s="11">
        <f>IF('LL Revascularisation Summary'!$P$3=2, U35, IF('LL Revascularisation Summary'!$P$3=1,P35))</f>
        <v>10.000002384185791</v>
      </c>
      <c r="X35" s="11">
        <f>IF('LL Revascularisation Summary'!$P$3=2, T35, IF('LL Revascularisation Summary'!$P$3=1,O35))</f>
        <v>12.000000476837158</v>
      </c>
      <c r="Y35" s="59">
        <f t="shared" si="5"/>
        <v>2.3923444976076555E-2</v>
      </c>
      <c r="Z35" s="59">
        <f t="shared" si="6"/>
        <v>0.15789473684210525</v>
      </c>
      <c r="AA35" s="59">
        <f t="shared" si="7"/>
        <v>0.81818181818181823</v>
      </c>
      <c r="AB35">
        <v>1</v>
      </c>
    </row>
    <row r="36" spans="1:28" x14ac:dyDescent="0.25">
      <c r="A36" t="s">
        <v>8</v>
      </c>
      <c r="B36" t="s">
        <v>9</v>
      </c>
      <c r="C36" s="124">
        <v>100</v>
      </c>
      <c r="D36" s="125" t="s">
        <v>184</v>
      </c>
      <c r="E36" s="126">
        <v>0.43999999761581421</v>
      </c>
      <c r="F36" s="7">
        <v>88</v>
      </c>
      <c r="G36" s="7">
        <v>69</v>
      </c>
      <c r="H36" s="7">
        <v>167</v>
      </c>
      <c r="I36" s="127">
        <v>324</v>
      </c>
      <c r="J36" t="str">
        <f t="shared" si="0"/>
        <v>R0A</v>
      </c>
      <c r="K36">
        <v>47</v>
      </c>
      <c r="L36" s="11">
        <v>6</v>
      </c>
      <c r="M36">
        <v>4</v>
      </c>
      <c r="N36">
        <v>10</v>
      </c>
      <c r="O36">
        <f t="shared" si="1"/>
        <v>2</v>
      </c>
      <c r="P36">
        <f t="shared" si="2"/>
        <v>4</v>
      </c>
      <c r="Q36" s="11">
        <v>43.999999761581421</v>
      </c>
      <c r="R36">
        <v>34.000000357627869</v>
      </c>
      <c r="S36">
        <v>54.000002145767212</v>
      </c>
      <c r="T36">
        <f t="shared" si="3"/>
        <v>9.9999994039535522</v>
      </c>
      <c r="U36">
        <f t="shared" si="4"/>
        <v>10.000002384185791</v>
      </c>
      <c r="V36">
        <f>IF('LL Revascularisation Summary'!$P$3=2, Q36, IF('LL Revascularisation Summary'!$P$3=1,L36))</f>
        <v>43.999999761581421</v>
      </c>
      <c r="W36" s="11">
        <f>IF('LL Revascularisation Summary'!$P$3=2, U36, IF('LL Revascularisation Summary'!$P$3=1,P36))</f>
        <v>10.000002384185791</v>
      </c>
      <c r="X36" s="11">
        <f>IF('LL Revascularisation Summary'!$P$3=2, T36, IF('LL Revascularisation Summary'!$P$3=1,O36))</f>
        <v>9.9999994039535522</v>
      </c>
      <c r="Y36" s="59">
        <f t="shared" si="5"/>
        <v>0.27160493827160492</v>
      </c>
      <c r="Z36" s="59">
        <f t="shared" si="6"/>
        <v>0.21296296296296297</v>
      </c>
      <c r="AA36" s="59">
        <f t="shared" si="7"/>
        <v>0.51543209876543206</v>
      </c>
      <c r="AB36">
        <v>1</v>
      </c>
    </row>
    <row r="37" spans="1:28" x14ac:dyDescent="0.25">
      <c r="A37" t="s">
        <v>75</v>
      </c>
      <c r="B37" t="s">
        <v>76</v>
      </c>
      <c r="C37" s="124">
        <v>19</v>
      </c>
      <c r="D37" s="125" t="s">
        <v>180</v>
      </c>
      <c r="E37" s="126">
        <v>0.62999999523162842</v>
      </c>
      <c r="F37" s="7">
        <v>27</v>
      </c>
      <c r="G37" s="7">
        <v>9</v>
      </c>
      <c r="H37" s="7">
        <v>0</v>
      </c>
      <c r="I37" s="127">
        <v>36</v>
      </c>
      <c r="J37" t="str">
        <f t="shared" si="0"/>
        <v>RPA</v>
      </c>
      <c r="K37">
        <v>21</v>
      </c>
      <c r="L37" s="11">
        <v>3</v>
      </c>
      <c r="M37">
        <v>2</v>
      </c>
      <c r="N37">
        <v>6</v>
      </c>
      <c r="O37">
        <f t="shared" si="1"/>
        <v>1</v>
      </c>
      <c r="P37">
        <f t="shared" si="2"/>
        <v>3</v>
      </c>
      <c r="Q37" s="11">
        <v>62.999999523162842</v>
      </c>
      <c r="R37">
        <v>37.999999523162842</v>
      </c>
      <c r="S37">
        <v>83.99999737739563</v>
      </c>
      <c r="T37">
        <f t="shared" si="3"/>
        <v>25</v>
      </c>
      <c r="U37">
        <f t="shared" si="4"/>
        <v>20.999997854232788</v>
      </c>
      <c r="V37">
        <f>IF('LL Revascularisation Summary'!$P$3=2, Q37, IF('LL Revascularisation Summary'!$P$3=1,L37))</f>
        <v>62.999999523162842</v>
      </c>
      <c r="W37" s="11">
        <f>IF('LL Revascularisation Summary'!$P$3=2, U37, IF('LL Revascularisation Summary'!$P$3=1,P37))</f>
        <v>20.999997854232788</v>
      </c>
      <c r="X37" s="11">
        <f>IF('LL Revascularisation Summary'!$P$3=2, T37, IF('LL Revascularisation Summary'!$P$3=1,O37))</f>
        <v>25</v>
      </c>
      <c r="Y37" s="59">
        <f t="shared" si="5"/>
        <v>0.75</v>
      </c>
      <c r="Z37" s="59">
        <f t="shared" si="6"/>
        <v>0.25</v>
      </c>
      <c r="AA37" s="59">
        <f t="shared" si="7"/>
        <v>0</v>
      </c>
      <c r="AB37">
        <v>1</v>
      </c>
    </row>
    <row r="38" spans="1:28" x14ac:dyDescent="0.25">
      <c r="A38" t="s">
        <v>17</v>
      </c>
      <c r="B38" t="s">
        <v>504</v>
      </c>
      <c r="C38" s="124">
        <v>25</v>
      </c>
      <c r="D38" s="125" t="s">
        <v>189</v>
      </c>
      <c r="E38" s="126">
        <v>0.8399999737739563</v>
      </c>
      <c r="F38" s="7">
        <v>56</v>
      </c>
      <c r="G38" s="7">
        <v>29</v>
      </c>
      <c r="H38" s="7">
        <v>27</v>
      </c>
      <c r="I38" s="127">
        <v>112</v>
      </c>
      <c r="J38" t="str">
        <f t="shared" si="0"/>
        <v>RAJ</v>
      </c>
      <c r="K38">
        <v>4</v>
      </c>
      <c r="L38" s="11">
        <v>2</v>
      </c>
      <c r="M38">
        <v>1</v>
      </c>
      <c r="N38">
        <v>4</v>
      </c>
      <c r="O38">
        <f t="shared" si="1"/>
        <v>1</v>
      </c>
      <c r="P38">
        <f t="shared" si="2"/>
        <v>2</v>
      </c>
      <c r="Q38" s="11">
        <v>83.99999737739563</v>
      </c>
      <c r="R38">
        <v>63.999998569488525</v>
      </c>
      <c r="S38">
        <v>94.999998807907104</v>
      </c>
      <c r="T38">
        <f t="shared" si="3"/>
        <v>19.999998807907104</v>
      </c>
      <c r="U38">
        <f t="shared" si="4"/>
        <v>11.000001430511475</v>
      </c>
      <c r="V38">
        <f>IF('LL Revascularisation Summary'!$P$3=2, Q38, IF('LL Revascularisation Summary'!$P$3=1,L38))</f>
        <v>83.99999737739563</v>
      </c>
      <c r="W38" s="11">
        <f>IF('LL Revascularisation Summary'!$P$3=2, U38, IF('LL Revascularisation Summary'!$P$3=1,P38))</f>
        <v>11.000001430511475</v>
      </c>
      <c r="X38" s="11">
        <f>IF('LL Revascularisation Summary'!$P$3=2, T38, IF('LL Revascularisation Summary'!$P$3=1,O38))</f>
        <v>19.999998807907104</v>
      </c>
      <c r="Y38" s="59">
        <f t="shared" si="5"/>
        <v>0.5</v>
      </c>
      <c r="Z38" s="59">
        <f t="shared" si="6"/>
        <v>0.25892857142857145</v>
      </c>
      <c r="AA38" s="59">
        <f t="shared" si="7"/>
        <v>0.24107142857142858</v>
      </c>
      <c r="AB38">
        <v>1</v>
      </c>
    </row>
    <row r="39" spans="1:28" x14ac:dyDescent="0.25">
      <c r="A39" t="s">
        <v>121</v>
      </c>
      <c r="B39" t="s">
        <v>122</v>
      </c>
      <c r="C39" s="124">
        <v>0</v>
      </c>
      <c r="D39" s="125" t="s">
        <v>276</v>
      </c>
      <c r="E39" s="129" t="s">
        <v>276</v>
      </c>
      <c r="F39" s="7" t="s">
        <v>284</v>
      </c>
      <c r="G39" s="7" t="s">
        <v>284</v>
      </c>
      <c r="H39" s="7" t="s">
        <v>284</v>
      </c>
      <c r="I39" s="127" t="s">
        <v>284</v>
      </c>
      <c r="J39" t="str">
        <f t="shared" si="0"/>
        <v>RXF</v>
      </c>
      <c r="K39">
        <v>79</v>
      </c>
      <c r="L39" t="s">
        <v>859</v>
      </c>
      <c r="M39" t="e">
        <v>#VALUE!</v>
      </c>
      <c r="N39" t="e">
        <v>#VALUE!</v>
      </c>
      <c r="O39" t="e">
        <f t="shared" si="1"/>
        <v>#VALUE!</v>
      </c>
      <c r="P39" t="e">
        <f t="shared" si="2"/>
        <v>#VALUE!</v>
      </c>
      <c r="Q39" s="11" t="e">
        <v>#VALUE!</v>
      </c>
      <c r="R39" t="e">
        <v>#VALUE!</v>
      </c>
      <c r="S39" t="e">
        <v>#VALUE!</v>
      </c>
      <c r="T39" t="e">
        <f t="shared" si="3"/>
        <v>#VALUE!</v>
      </c>
      <c r="U39" t="e">
        <f t="shared" si="4"/>
        <v>#VALUE!</v>
      </c>
      <c r="V39" t="e">
        <f>IF('LL Revascularisation Summary'!$P$3=2, Q39, IF('LL Revascularisation Summary'!$P$3=1,L39))</f>
        <v>#VALUE!</v>
      </c>
      <c r="W39" s="11" t="e">
        <f>IF('LL Revascularisation Summary'!$P$3=2, U39, IF('LL Revascularisation Summary'!$P$3=1,P39))</f>
        <v>#VALUE!</v>
      </c>
      <c r="X39" s="11" t="e">
        <f>IF('LL Revascularisation Summary'!$P$3=2, T39, IF('LL Revascularisation Summary'!$P$3=1,O39))</f>
        <v>#VALUE!</v>
      </c>
      <c r="Y39" s="59" t="e">
        <f t="shared" si="5"/>
        <v>#VALUE!</v>
      </c>
      <c r="Z39" s="59" t="e">
        <f t="shared" si="6"/>
        <v>#VALUE!</v>
      </c>
      <c r="AA39" s="59" t="e">
        <f t="shared" si="7"/>
        <v>#VALUE!</v>
      </c>
      <c r="AB39">
        <v>0</v>
      </c>
    </row>
    <row r="40" spans="1:28" x14ac:dyDescent="0.25">
      <c r="A40" t="s">
        <v>212</v>
      </c>
      <c r="B40" t="s">
        <v>359</v>
      </c>
      <c r="C40" s="124">
        <v>0</v>
      </c>
      <c r="D40" s="125" t="s">
        <v>276</v>
      </c>
      <c r="E40" s="129" t="s">
        <v>276</v>
      </c>
      <c r="F40" s="7" t="s">
        <v>284</v>
      </c>
      <c r="G40" s="7" t="s">
        <v>284</v>
      </c>
      <c r="H40" s="7" t="s">
        <v>284</v>
      </c>
      <c r="I40" s="127" t="s">
        <v>284</v>
      </c>
      <c r="J40" t="str">
        <f t="shared" si="0"/>
        <v>RD8</v>
      </c>
      <c r="K40">
        <v>80</v>
      </c>
      <c r="L40" t="s">
        <v>859</v>
      </c>
      <c r="M40" t="e">
        <v>#VALUE!</v>
      </c>
      <c r="N40" t="e">
        <v>#VALUE!</v>
      </c>
      <c r="O40" t="e">
        <f t="shared" si="1"/>
        <v>#VALUE!</v>
      </c>
      <c r="P40" t="e">
        <f t="shared" si="2"/>
        <v>#VALUE!</v>
      </c>
      <c r="Q40" s="11" t="e">
        <v>#VALUE!</v>
      </c>
      <c r="R40" t="e">
        <v>#VALUE!</v>
      </c>
      <c r="S40" t="e">
        <v>#VALUE!</v>
      </c>
      <c r="T40" t="e">
        <f t="shared" si="3"/>
        <v>#VALUE!</v>
      </c>
      <c r="U40" t="e">
        <f t="shared" si="4"/>
        <v>#VALUE!</v>
      </c>
      <c r="V40" t="e">
        <f>IF('LL Revascularisation Summary'!$P$3=2, Q40, IF('LL Revascularisation Summary'!$P$3=1,L40))</f>
        <v>#VALUE!</v>
      </c>
      <c r="W40" s="11" t="e">
        <f>IF('LL Revascularisation Summary'!$P$3=2, U40, IF('LL Revascularisation Summary'!$P$3=1,P40))</f>
        <v>#VALUE!</v>
      </c>
      <c r="X40" s="11" t="e">
        <f>IF('LL Revascularisation Summary'!$P$3=2, T40, IF('LL Revascularisation Summary'!$P$3=1,O40))</f>
        <v>#VALUE!</v>
      </c>
      <c r="Y40" s="59" t="e">
        <f t="shared" si="5"/>
        <v>#VALUE!</v>
      </c>
      <c r="Z40" s="59" t="e">
        <f t="shared" si="6"/>
        <v>#VALUE!</v>
      </c>
      <c r="AA40" s="59" t="e">
        <f t="shared" si="7"/>
        <v>#VALUE!</v>
      </c>
      <c r="AB40">
        <v>0</v>
      </c>
    </row>
    <row r="41" spans="1:28" x14ac:dyDescent="0.25">
      <c r="A41" t="s">
        <v>91</v>
      </c>
      <c r="B41" t="s">
        <v>92</v>
      </c>
      <c r="C41" s="124">
        <v>128</v>
      </c>
      <c r="D41" s="125" t="s">
        <v>246</v>
      </c>
      <c r="E41" s="126">
        <v>0.41999998688697815</v>
      </c>
      <c r="F41" s="7">
        <v>121</v>
      </c>
      <c r="G41" s="7">
        <v>60</v>
      </c>
      <c r="H41" s="7">
        <v>221</v>
      </c>
      <c r="I41" s="127">
        <v>402</v>
      </c>
      <c r="J41" t="str">
        <f t="shared" si="0"/>
        <v>RTD</v>
      </c>
      <c r="K41">
        <v>48</v>
      </c>
      <c r="L41" s="11">
        <v>6</v>
      </c>
      <c r="M41">
        <v>3</v>
      </c>
      <c r="N41">
        <v>10</v>
      </c>
      <c r="O41">
        <f t="shared" si="1"/>
        <v>3</v>
      </c>
      <c r="P41">
        <f t="shared" si="2"/>
        <v>4</v>
      </c>
      <c r="Q41" s="11">
        <v>41.999998688697815</v>
      </c>
      <c r="R41">
        <v>34.000000357627869</v>
      </c>
      <c r="S41">
        <v>50.999999046325684</v>
      </c>
      <c r="T41">
        <f t="shared" si="3"/>
        <v>7.9999983310699463</v>
      </c>
      <c r="U41">
        <f t="shared" si="4"/>
        <v>9.0000003576278687</v>
      </c>
      <c r="V41">
        <f>IF('LL Revascularisation Summary'!$P$3=2, Q41, IF('LL Revascularisation Summary'!$P$3=1,L41))</f>
        <v>41.999998688697815</v>
      </c>
      <c r="W41" s="11">
        <f>IF('LL Revascularisation Summary'!$P$3=2, U41, IF('LL Revascularisation Summary'!$P$3=1,P41))</f>
        <v>9.0000003576278687</v>
      </c>
      <c r="X41" s="11">
        <f>IF('LL Revascularisation Summary'!$P$3=2, T41, IF('LL Revascularisation Summary'!$P$3=1,O41))</f>
        <v>7.9999983310699463</v>
      </c>
      <c r="Y41" s="59">
        <f t="shared" si="5"/>
        <v>0.30099502487562191</v>
      </c>
      <c r="Z41" s="59">
        <f t="shared" si="6"/>
        <v>0.14925373134328357</v>
      </c>
      <c r="AA41" s="59">
        <f t="shared" si="7"/>
        <v>0.54975124378109452</v>
      </c>
      <c r="AB41">
        <v>1</v>
      </c>
    </row>
    <row r="42" spans="1:28" x14ac:dyDescent="0.25">
      <c r="A42" t="s">
        <v>131</v>
      </c>
      <c r="B42" t="s">
        <v>132</v>
      </c>
      <c r="C42" s="124" t="s">
        <v>369</v>
      </c>
      <c r="D42" s="125" t="s">
        <v>284</v>
      </c>
      <c r="E42" s="126" t="s">
        <v>284</v>
      </c>
      <c r="F42" s="7" t="s">
        <v>284</v>
      </c>
      <c r="G42" s="7" t="s">
        <v>284</v>
      </c>
      <c r="H42" s="7" t="s">
        <v>284</v>
      </c>
      <c r="I42" s="127" t="s">
        <v>284</v>
      </c>
      <c r="J42" t="str">
        <f t="shared" si="0"/>
        <v>SA999</v>
      </c>
      <c r="K42">
        <v>68</v>
      </c>
      <c r="L42" t="s">
        <v>284</v>
      </c>
      <c r="M42" t="e">
        <v>#VALUE!</v>
      </c>
      <c r="N42" t="e">
        <v>#VALUE!</v>
      </c>
      <c r="O42" t="e">
        <f t="shared" si="1"/>
        <v>#VALUE!</v>
      </c>
      <c r="P42" t="e">
        <f t="shared" si="2"/>
        <v>#VALUE!</v>
      </c>
      <c r="Q42" s="11" t="e">
        <v>#VALUE!</v>
      </c>
      <c r="R42" s="11" t="e">
        <v>#VALUE!</v>
      </c>
      <c r="S42" s="11" t="e">
        <v>#VALUE!</v>
      </c>
      <c r="T42" t="e">
        <f t="shared" si="3"/>
        <v>#VALUE!</v>
      </c>
      <c r="U42" t="e">
        <f t="shared" si="4"/>
        <v>#VALUE!</v>
      </c>
      <c r="V42" t="e">
        <f>IF('LL Revascularisation Summary'!$P$3=2, Q42, IF('LL Revascularisation Summary'!$P$3=1,L42))</f>
        <v>#VALUE!</v>
      </c>
      <c r="W42" s="11" t="e">
        <f>IF('LL Revascularisation Summary'!$P$3=2, U42, IF('LL Revascularisation Summary'!$P$3=1,P42))</f>
        <v>#VALUE!</v>
      </c>
      <c r="X42" s="11" t="e">
        <f>IF('LL Revascularisation Summary'!$P$3=2, T42, IF('LL Revascularisation Summary'!$P$3=1,O42))</f>
        <v>#VALUE!</v>
      </c>
      <c r="Y42" s="59" t="e">
        <f t="shared" si="5"/>
        <v>#VALUE!</v>
      </c>
      <c r="Z42" s="59" t="e">
        <f t="shared" si="6"/>
        <v>#VALUE!</v>
      </c>
      <c r="AA42" s="59" t="e">
        <f t="shared" si="7"/>
        <v>#VALUE!</v>
      </c>
      <c r="AB42">
        <v>0</v>
      </c>
    </row>
    <row r="43" spans="1:28" x14ac:dyDescent="0.25">
      <c r="A43" t="s">
        <v>558</v>
      </c>
      <c r="B43" t="s">
        <v>559</v>
      </c>
      <c r="C43" s="124">
        <v>0</v>
      </c>
      <c r="D43" s="125" t="s">
        <v>276</v>
      </c>
      <c r="E43" s="129" t="s">
        <v>276</v>
      </c>
      <c r="F43" s="7" t="s">
        <v>284</v>
      </c>
      <c r="G43" s="7" t="s">
        <v>284</v>
      </c>
      <c r="H43" s="7" t="s">
        <v>284</v>
      </c>
      <c r="I43" s="127" t="s">
        <v>284</v>
      </c>
      <c r="J43" t="str">
        <f t="shared" si="0"/>
        <v>SY999</v>
      </c>
      <c r="K43">
        <v>81</v>
      </c>
      <c r="L43" t="s">
        <v>859</v>
      </c>
      <c r="M43" t="e">
        <v>#VALUE!</v>
      </c>
      <c r="N43" t="e">
        <v>#VALUE!</v>
      </c>
      <c r="O43" t="e">
        <f t="shared" si="1"/>
        <v>#VALUE!</v>
      </c>
      <c r="P43" t="e">
        <f t="shared" si="2"/>
        <v>#VALUE!</v>
      </c>
      <c r="Q43" s="11" t="e">
        <v>#VALUE!</v>
      </c>
      <c r="R43" t="e">
        <v>#VALUE!</v>
      </c>
      <c r="S43" t="e">
        <v>#VALUE!</v>
      </c>
      <c r="T43" t="e">
        <f t="shared" si="3"/>
        <v>#VALUE!</v>
      </c>
      <c r="U43" t="e">
        <f t="shared" si="4"/>
        <v>#VALUE!</v>
      </c>
      <c r="V43" t="e">
        <f>IF('LL Revascularisation Summary'!$P$3=2, Q43, IF('LL Revascularisation Summary'!$P$3=1,L43))</f>
        <v>#VALUE!</v>
      </c>
      <c r="W43" s="11" t="e">
        <f>IF('LL Revascularisation Summary'!$P$3=2, U43, IF('LL Revascularisation Summary'!$P$3=1,P43))</f>
        <v>#VALUE!</v>
      </c>
      <c r="X43" s="11" t="e">
        <f>IF('LL Revascularisation Summary'!$P$3=2, T43, IF('LL Revascularisation Summary'!$P$3=1,O43))</f>
        <v>#VALUE!</v>
      </c>
      <c r="Y43" s="59" t="e">
        <f t="shared" si="5"/>
        <v>#VALUE!</v>
      </c>
      <c r="Z43" s="59" t="e">
        <f t="shared" si="6"/>
        <v>#VALUE!</v>
      </c>
      <c r="AA43" s="59" t="e">
        <f t="shared" si="7"/>
        <v>#VALUE!</v>
      </c>
      <c r="AB43">
        <v>0</v>
      </c>
    </row>
    <row r="44" spans="1:28" x14ac:dyDescent="0.25">
      <c r="A44" t="s">
        <v>145</v>
      </c>
      <c r="B44" t="s">
        <v>146</v>
      </c>
      <c r="C44" s="124">
        <v>0</v>
      </c>
      <c r="D44" s="125" t="s">
        <v>276</v>
      </c>
      <c r="E44" s="129" t="s">
        <v>276</v>
      </c>
      <c r="F44" s="7" t="s">
        <v>284</v>
      </c>
      <c r="G44" s="7" t="s">
        <v>284</v>
      </c>
      <c r="H44" s="7" t="s">
        <v>284</v>
      </c>
      <c r="I44" s="127" t="s">
        <v>284</v>
      </c>
      <c r="J44" t="str">
        <f t="shared" si="0"/>
        <v>SV999</v>
      </c>
      <c r="K44">
        <v>82</v>
      </c>
      <c r="L44" t="s">
        <v>859</v>
      </c>
      <c r="M44" t="e">
        <v>#VALUE!</v>
      </c>
      <c r="N44" t="e">
        <v>#VALUE!</v>
      </c>
      <c r="O44" t="e">
        <f t="shared" si="1"/>
        <v>#VALUE!</v>
      </c>
      <c r="P44" t="e">
        <f t="shared" si="2"/>
        <v>#VALUE!</v>
      </c>
      <c r="Q44" s="11" t="e">
        <v>#VALUE!</v>
      </c>
      <c r="R44" t="e">
        <v>#VALUE!</v>
      </c>
      <c r="S44" t="e">
        <v>#VALUE!</v>
      </c>
      <c r="T44" t="e">
        <f t="shared" si="3"/>
        <v>#VALUE!</v>
      </c>
      <c r="U44" t="e">
        <f t="shared" si="4"/>
        <v>#VALUE!</v>
      </c>
      <c r="V44" t="e">
        <f>IF('LL Revascularisation Summary'!$P$3=2, Q44, IF('LL Revascularisation Summary'!$P$3=1,L44))</f>
        <v>#VALUE!</v>
      </c>
      <c r="W44" s="11" t="e">
        <f>IF('LL Revascularisation Summary'!$P$3=2, U44, IF('LL Revascularisation Summary'!$P$3=1,P44))</f>
        <v>#VALUE!</v>
      </c>
      <c r="X44" s="11" t="e">
        <f>IF('LL Revascularisation Summary'!$P$3=2, T44, IF('LL Revascularisation Summary'!$P$3=1,O44))</f>
        <v>#VALUE!</v>
      </c>
      <c r="Y44" s="59" t="e">
        <f t="shared" si="5"/>
        <v>#VALUE!</v>
      </c>
      <c r="Z44" s="59" t="e">
        <f t="shared" si="6"/>
        <v>#VALUE!</v>
      </c>
      <c r="AA44" s="59" t="e">
        <f t="shared" si="7"/>
        <v>#VALUE!</v>
      </c>
      <c r="AB44">
        <v>0</v>
      </c>
    </row>
    <row r="45" spans="1:28" x14ac:dyDescent="0.25">
      <c r="A45" t="s">
        <v>139</v>
      </c>
      <c r="B45" t="s">
        <v>140</v>
      </c>
      <c r="C45" s="124">
        <v>14</v>
      </c>
      <c r="D45" s="125" t="s">
        <v>717</v>
      </c>
      <c r="E45" s="126">
        <v>0.63999998569488525</v>
      </c>
      <c r="F45" s="7">
        <v>31</v>
      </c>
      <c r="G45" s="7">
        <v>8</v>
      </c>
      <c r="H45" s="7">
        <v>9</v>
      </c>
      <c r="I45" s="127">
        <v>48</v>
      </c>
      <c r="J45" t="str">
        <f t="shared" si="0"/>
        <v>SN999</v>
      </c>
      <c r="K45">
        <v>17</v>
      </c>
      <c r="L45" s="11">
        <v>5</v>
      </c>
      <c r="M45">
        <v>1</v>
      </c>
      <c r="N45">
        <v>9</v>
      </c>
      <c r="O45">
        <f t="shared" si="1"/>
        <v>4</v>
      </c>
      <c r="P45">
        <f t="shared" si="2"/>
        <v>4</v>
      </c>
      <c r="Q45" s="11">
        <v>63.999998569488525</v>
      </c>
      <c r="R45">
        <v>34.999999403953552</v>
      </c>
      <c r="S45">
        <v>87.000000476837158</v>
      </c>
      <c r="T45">
        <f t="shared" si="3"/>
        <v>28.999999165534973</v>
      </c>
      <c r="U45">
        <f t="shared" si="4"/>
        <v>23.000001907348633</v>
      </c>
      <c r="V45">
        <f>IF('LL Revascularisation Summary'!$P$3=2, Q45, IF('LL Revascularisation Summary'!$P$3=1,L45))</f>
        <v>63.999998569488525</v>
      </c>
      <c r="W45" s="11">
        <f>IF('LL Revascularisation Summary'!$P$3=2, U45, IF('LL Revascularisation Summary'!$P$3=1,P45))</f>
        <v>23.000001907348633</v>
      </c>
      <c r="X45" s="11">
        <f>IF('LL Revascularisation Summary'!$P$3=2, T45, IF('LL Revascularisation Summary'!$P$3=1,O45))</f>
        <v>28.999999165534973</v>
      </c>
      <c r="Y45" s="59">
        <f t="shared" si="5"/>
        <v>0.64583333333333337</v>
      </c>
      <c r="Z45" s="59">
        <f t="shared" si="6"/>
        <v>0.16666666666666666</v>
      </c>
      <c r="AA45" s="59">
        <f t="shared" si="7"/>
        <v>0.1875</v>
      </c>
      <c r="AB45">
        <v>1</v>
      </c>
    </row>
    <row r="46" spans="1:28" x14ac:dyDescent="0.25">
      <c r="A46" t="s">
        <v>133</v>
      </c>
      <c r="B46" t="s">
        <v>134</v>
      </c>
      <c r="C46" s="124">
        <v>22</v>
      </c>
      <c r="D46" s="125" t="s">
        <v>240</v>
      </c>
      <c r="E46" s="126">
        <v>0.81999999284744263</v>
      </c>
      <c r="F46" s="7">
        <v>36</v>
      </c>
      <c r="G46" s="7">
        <v>16</v>
      </c>
      <c r="H46" s="7">
        <v>1</v>
      </c>
      <c r="I46" s="127">
        <v>53</v>
      </c>
      <c r="J46" t="str">
        <f t="shared" si="0"/>
        <v>SG999</v>
      </c>
      <c r="K46">
        <v>5</v>
      </c>
      <c r="L46" s="11">
        <v>3</v>
      </c>
      <c r="M46">
        <v>1</v>
      </c>
      <c r="N46">
        <v>5</v>
      </c>
      <c r="O46">
        <f t="shared" si="1"/>
        <v>2</v>
      </c>
      <c r="P46">
        <f t="shared" si="2"/>
        <v>2</v>
      </c>
      <c r="Q46" s="11">
        <v>81.999999284744263</v>
      </c>
      <c r="R46">
        <v>60.000002384185791</v>
      </c>
      <c r="S46">
        <v>94.999998807907104</v>
      </c>
      <c r="T46">
        <f t="shared" si="3"/>
        <v>21.999996900558472</v>
      </c>
      <c r="U46">
        <f t="shared" si="4"/>
        <v>12.999999523162842</v>
      </c>
      <c r="V46">
        <f>IF('LL Revascularisation Summary'!$P$3=2, Q46, IF('LL Revascularisation Summary'!$P$3=1,L46))</f>
        <v>81.999999284744263</v>
      </c>
      <c r="W46" s="11">
        <f>IF('LL Revascularisation Summary'!$P$3=2, U46, IF('LL Revascularisation Summary'!$P$3=1,P46))</f>
        <v>12.999999523162842</v>
      </c>
      <c r="X46" s="11">
        <f>IF('LL Revascularisation Summary'!$P$3=2, T46, IF('LL Revascularisation Summary'!$P$3=1,O46))</f>
        <v>21.999996900558472</v>
      </c>
      <c r="Y46" s="59">
        <f t="shared" si="5"/>
        <v>0.67924528301886788</v>
      </c>
      <c r="Z46" s="59">
        <f t="shared" si="6"/>
        <v>0.30188679245283018</v>
      </c>
      <c r="AA46" s="59">
        <f t="shared" si="7"/>
        <v>1.8867924528301886E-2</v>
      </c>
      <c r="AB46">
        <v>1</v>
      </c>
    </row>
    <row r="47" spans="1:28" x14ac:dyDescent="0.25">
      <c r="A47" t="s">
        <v>135</v>
      </c>
      <c r="B47" t="s">
        <v>136</v>
      </c>
      <c r="C47" s="124">
        <v>30</v>
      </c>
      <c r="D47" s="125" t="s">
        <v>225</v>
      </c>
      <c r="E47" s="126">
        <v>0.73000001907348633</v>
      </c>
      <c r="F47" s="7">
        <v>61</v>
      </c>
      <c r="G47" s="7">
        <v>2</v>
      </c>
      <c r="H47" s="7">
        <v>0</v>
      </c>
      <c r="I47" s="127">
        <v>63</v>
      </c>
      <c r="J47" t="str">
        <f t="shared" si="0"/>
        <v>SH999</v>
      </c>
      <c r="K47">
        <v>8</v>
      </c>
      <c r="L47" s="11">
        <v>2</v>
      </c>
      <c r="M47">
        <v>1</v>
      </c>
      <c r="N47">
        <v>7</v>
      </c>
      <c r="O47">
        <f t="shared" si="1"/>
        <v>1</v>
      </c>
      <c r="P47">
        <f t="shared" si="2"/>
        <v>5</v>
      </c>
      <c r="Q47" s="11">
        <v>73.000001907348633</v>
      </c>
      <c r="R47">
        <v>54.000002145767212</v>
      </c>
      <c r="S47">
        <v>87.999999523162842</v>
      </c>
      <c r="T47">
        <f t="shared" si="3"/>
        <v>18.999999761581421</v>
      </c>
      <c r="U47">
        <f t="shared" si="4"/>
        <v>14.999997615814209</v>
      </c>
      <c r="V47">
        <f>IF('LL Revascularisation Summary'!$P$3=2, Q47, IF('LL Revascularisation Summary'!$P$3=1,L47))</f>
        <v>73.000001907348633</v>
      </c>
      <c r="W47" s="11">
        <f>IF('LL Revascularisation Summary'!$P$3=2, U47, IF('LL Revascularisation Summary'!$P$3=1,P47))</f>
        <v>14.999997615814209</v>
      </c>
      <c r="X47" s="11">
        <f>IF('LL Revascularisation Summary'!$P$3=2, T47, IF('LL Revascularisation Summary'!$P$3=1,O47))</f>
        <v>18.999999761581421</v>
      </c>
      <c r="Y47" s="59">
        <f t="shared" si="5"/>
        <v>0.96825396825396826</v>
      </c>
      <c r="Z47" s="59">
        <f t="shared" si="6"/>
        <v>3.1746031746031744E-2</v>
      </c>
      <c r="AA47" s="59">
        <f t="shared" si="7"/>
        <v>0</v>
      </c>
      <c r="AB47">
        <v>1</v>
      </c>
    </row>
    <row r="48" spans="1:28" x14ac:dyDescent="0.25">
      <c r="A48" t="s">
        <v>137</v>
      </c>
      <c r="B48" t="s">
        <v>138</v>
      </c>
      <c r="C48" s="124">
        <v>17</v>
      </c>
      <c r="D48" s="125" t="s">
        <v>202</v>
      </c>
      <c r="E48" s="126">
        <v>0.40999999642372131</v>
      </c>
      <c r="F48" s="7">
        <v>43</v>
      </c>
      <c r="G48" s="7">
        <v>5</v>
      </c>
      <c r="H48" s="7">
        <v>0</v>
      </c>
      <c r="I48" s="127">
        <v>48</v>
      </c>
      <c r="J48" t="str">
        <f t="shared" si="0"/>
        <v>SL999</v>
      </c>
      <c r="K48">
        <v>49</v>
      </c>
      <c r="L48" s="11">
        <v>6</v>
      </c>
      <c r="M48">
        <v>3</v>
      </c>
      <c r="N48">
        <v>11</v>
      </c>
      <c r="O48">
        <f t="shared" si="1"/>
        <v>3</v>
      </c>
      <c r="P48">
        <f t="shared" si="2"/>
        <v>5</v>
      </c>
      <c r="Q48" s="11">
        <v>40.999999642372131</v>
      </c>
      <c r="R48">
        <v>18.000000715255737</v>
      </c>
      <c r="S48">
        <v>67.000001668930054</v>
      </c>
      <c r="T48">
        <f t="shared" si="3"/>
        <v>22.999998927116394</v>
      </c>
      <c r="U48">
        <f t="shared" si="4"/>
        <v>26.000002026557922</v>
      </c>
      <c r="V48">
        <f>IF('LL Revascularisation Summary'!$P$3=2, Q48, IF('LL Revascularisation Summary'!$P$3=1,L48))</f>
        <v>40.999999642372131</v>
      </c>
      <c r="W48" s="11">
        <f>IF('LL Revascularisation Summary'!$P$3=2, U48, IF('LL Revascularisation Summary'!$P$3=1,P48))</f>
        <v>26.000002026557922</v>
      </c>
      <c r="X48" s="11">
        <f>IF('LL Revascularisation Summary'!$P$3=2, T48, IF('LL Revascularisation Summary'!$P$3=1,O48))</f>
        <v>22.999998927116394</v>
      </c>
      <c r="Y48" s="59">
        <f t="shared" si="5"/>
        <v>0.89583333333333337</v>
      </c>
      <c r="Z48" s="59">
        <f t="shared" si="6"/>
        <v>0.10416666666666667</v>
      </c>
      <c r="AA48" s="59">
        <f t="shared" si="7"/>
        <v>0</v>
      </c>
      <c r="AB48">
        <v>1</v>
      </c>
    </row>
    <row r="49" spans="1:28" x14ac:dyDescent="0.25">
      <c r="A49" t="s">
        <v>141</v>
      </c>
      <c r="B49" t="s">
        <v>142</v>
      </c>
      <c r="C49" s="124">
        <v>11</v>
      </c>
      <c r="D49" s="125" t="s">
        <v>590</v>
      </c>
      <c r="E49" s="126">
        <v>0.36000001430511475</v>
      </c>
      <c r="F49" s="7">
        <v>20</v>
      </c>
      <c r="G49" s="7">
        <v>8</v>
      </c>
      <c r="H49" s="7">
        <v>0</v>
      </c>
      <c r="I49" s="127">
        <v>28</v>
      </c>
      <c r="J49" t="str">
        <f t="shared" si="0"/>
        <v>SS999</v>
      </c>
      <c r="K49">
        <v>57</v>
      </c>
      <c r="L49" s="11">
        <v>6</v>
      </c>
      <c r="M49">
        <v>2</v>
      </c>
      <c r="N49">
        <v>8</v>
      </c>
      <c r="O49">
        <f t="shared" si="1"/>
        <v>4</v>
      </c>
      <c r="P49">
        <f t="shared" si="2"/>
        <v>2</v>
      </c>
      <c r="Q49" s="11">
        <v>36.000001430511475</v>
      </c>
      <c r="R49">
        <v>10.999999940395355</v>
      </c>
      <c r="S49">
        <v>68.999999761581421</v>
      </c>
      <c r="T49">
        <f t="shared" si="3"/>
        <v>25.000001490116119</v>
      </c>
      <c r="U49">
        <f t="shared" si="4"/>
        <v>32.999998331069946</v>
      </c>
      <c r="V49">
        <f>IF('LL Revascularisation Summary'!$P$3=2, Q49, IF('LL Revascularisation Summary'!$P$3=1,L49))</f>
        <v>36.000001430511475</v>
      </c>
      <c r="W49" s="11">
        <f>IF('LL Revascularisation Summary'!$P$3=2, U49, IF('LL Revascularisation Summary'!$P$3=1,P49))</f>
        <v>32.999998331069946</v>
      </c>
      <c r="X49" s="11">
        <f>IF('LL Revascularisation Summary'!$P$3=2, T49, IF('LL Revascularisation Summary'!$P$3=1,O49))</f>
        <v>25.000001490116119</v>
      </c>
      <c r="Y49" s="59">
        <f t="shared" si="5"/>
        <v>0.7142857142857143</v>
      </c>
      <c r="Z49" s="59">
        <f t="shared" si="6"/>
        <v>0.2857142857142857</v>
      </c>
      <c r="AA49" s="59">
        <f t="shared" si="7"/>
        <v>0</v>
      </c>
      <c r="AB49">
        <v>1</v>
      </c>
    </row>
    <row r="50" spans="1:28" x14ac:dyDescent="0.25">
      <c r="A50" t="s">
        <v>143</v>
      </c>
      <c r="B50" t="s">
        <v>144</v>
      </c>
      <c r="C50" s="124">
        <v>12</v>
      </c>
      <c r="D50" s="125" t="s">
        <v>547</v>
      </c>
      <c r="E50" s="126">
        <v>0.5</v>
      </c>
      <c r="F50" s="7">
        <v>37</v>
      </c>
      <c r="G50" s="7">
        <v>7</v>
      </c>
      <c r="H50" s="7">
        <v>0</v>
      </c>
      <c r="I50" s="127">
        <v>44</v>
      </c>
      <c r="J50" t="str">
        <f t="shared" si="0"/>
        <v>ST999</v>
      </c>
      <c r="K50">
        <v>40</v>
      </c>
      <c r="L50" s="11">
        <v>9</v>
      </c>
      <c r="M50">
        <v>4</v>
      </c>
      <c r="N50">
        <v>18</v>
      </c>
      <c r="O50">
        <f t="shared" si="1"/>
        <v>5</v>
      </c>
      <c r="P50">
        <f t="shared" si="2"/>
        <v>9</v>
      </c>
      <c r="Q50" s="11">
        <v>50</v>
      </c>
      <c r="R50">
        <v>20.999999344348907</v>
      </c>
      <c r="S50">
        <v>79.000002145767212</v>
      </c>
      <c r="T50">
        <f t="shared" si="3"/>
        <v>29.000000655651093</v>
      </c>
      <c r="U50">
        <f t="shared" si="4"/>
        <v>29.000002145767212</v>
      </c>
      <c r="V50">
        <f>IF('LL Revascularisation Summary'!$P$3=2, Q50, IF('LL Revascularisation Summary'!$P$3=1,L50))</f>
        <v>50</v>
      </c>
      <c r="W50" s="11">
        <f>IF('LL Revascularisation Summary'!$P$3=2, U50, IF('LL Revascularisation Summary'!$P$3=1,P50))</f>
        <v>29.000002145767212</v>
      </c>
      <c r="X50" s="11">
        <f>IF('LL Revascularisation Summary'!$P$3=2, T50, IF('LL Revascularisation Summary'!$P$3=1,O50))</f>
        <v>29.000000655651093</v>
      </c>
      <c r="Y50" s="59">
        <f t="shared" si="5"/>
        <v>0.84090909090909094</v>
      </c>
      <c r="Z50" s="59">
        <f t="shared" si="6"/>
        <v>0.15909090909090909</v>
      </c>
      <c r="AA50" s="59">
        <f t="shared" si="7"/>
        <v>0</v>
      </c>
      <c r="AB50">
        <v>1</v>
      </c>
    </row>
    <row r="51" spans="1:28" x14ac:dyDescent="0.25">
      <c r="A51" t="s">
        <v>65</v>
      </c>
      <c r="B51" t="s">
        <v>66</v>
      </c>
      <c r="C51" s="124">
        <v>45</v>
      </c>
      <c r="D51" s="125" t="s">
        <v>336</v>
      </c>
      <c r="E51" s="126">
        <v>0.50999999046325684</v>
      </c>
      <c r="F51" s="7">
        <v>34</v>
      </c>
      <c r="G51" s="7">
        <v>20</v>
      </c>
      <c r="H51" s="7">
        <v>50</v>
      </c>
      <c r="I51" s="127">
        <v>104</v>
      </c>
      <c r="J51" t="str">
        <f t="shared" si="0"/>
        <v>RM1</v>
      </c>
      <c r="K51">
        <v>39</v>
      </c>
      <c r="L51" s="11">
        <v>5</v>
      </c>
      <c r="M51">
        <v>4</v>
      </c>
      <c r="N51">
        <v>7</v>
      </c>
      <c r="O51">
        <f t="shared" si="1"/>
        <v>1</v>
      </c>
      <c r="P51">
        <f t="shared" si="2"/>
        <v>2</v>
      </c>
      <c r="Q51" s="11">
        <v>50.999999046325684</v>
      </c>
      <c r="R51">
        <v>36.000001430511475</v>
      </c>
      <c r="S51">
        <v>66.00000262260437</v>
      </c>
      <c r="T51">
        <f t="shared" si="3"/>
        <v>14.999997615814209</v>
      </c>
      <c r="U51">
        <f t="shared" si="4"/>
        <v>15.000003576278687</v>
      </c>
      <c r="V51">
        <f>IF('LL Revascularisation Summary'!$P$3=2, Q51, IF('LL Revascularisation Summary'!$P$3=1,L51))</f>
        <v>50.999999046325684</v>
      </c>
      <c r="W51" s="11">
        <f>IF('LL Revascularisation Summary'!$P$3=2, U51, IF('LL Revascularisation Summary'!$P$3=1,P51))</f>
        <v>15.000003576278687</v>
      </c>
      <c r="X51" s="11">
        <f>IF('LL Revascularisation Summary'!$P$3=2, T51, IF('LL Revascularisation Summary'!$P$3=1,O51))</f>
        <v>14.999997615814209</v>
      </c>
      <c r="Y51" s="59">
        <f t="shared" si="5"/>
        <v>0.32692307692307693</v>
      </c>
      <c r="Z51" s="59">
        <f t="shared" si="6"/>
        <v>0.19230769230769232</v>
      </c>
      <c r="AA51" s="59">
        <f t="shared" si="7"/>
        <v>0.48076923076923078</v>
      </c>
      <c r="AB51">
        <v>1</v>
      </c>
    </row>
    <row r="52" spans="1:28" x14ac:dyDescent="0.25">
      <c r="A52" t="s">
        <v>100</v>
      </c>
      <c r="B52" t="s">
        <v>101</v>
      </c>
      <c r="C52" s="124">
        <v>93</v>
      </c>
      <c r="D52" s="125" t="s">
        <v>192</v>
      </c>
      <c r="E52" s="126">
        <v>0.68000000715255737</v>
      </c>
      <c r="F52" s="7">
        <v>78</v>
      </c>
      <c r="G52" s="7">
        <v>52</v>
      </c>
      <c r="H52" s="7">
        <v>187</v>
      </c>
      <c r="I52" s="127">
        <v>317</v>
      </c>
      <c r="J52" t="str">
        <f t="shared" si="0"/>
        <v>RVJ</v>
      </c>
      <c r="K52">
        <v>12</v>
      </c>
      <c r="L52" s="11">
        <v>4</v>
      </c>
      <c r="M52">
        <v>2</v>
      </c>
      <c r="N52">
        <v>7</v>
      </c>
      <c r="O52">
        <f t="shared" si="1"/>
        <v>2</v>
      </c>
      <c r="P52">
        <f t="shared" si="2"/>
        <v>3</v>
      </c>
      <c r="Q52" s="11">
        <v>68.000000715255737</v>
      </c>
      <c r="R52">
        <v>56.999999284744263</v>
      </c>
      <c r="S52">
        <v>76.999998092651367</v>
      </c>
      <c r="T52">
        <f t="shared" si="3"/>
        <v>11.000001430511475</v>
      </c>
      <c r="U52">
        <f t="shared" si="4"/>
        <v>8.9999973773956299</v>
      </c>
      <c r="V52">
        <f>IF('LL Revascularisation Summary'!$P$3=2, Q52, IF('LL Revascularisation Summary'!$P$3=1,L52))</f>
        <v>68.000000715255737</v>
      </c>
      <c r="W52" s="11">
        <f>IF('LL Revascularisation Summary'!$P$3=2, U52, IF('LL Revascularisation Summary'!$P$3=1,P52))</f>
        <v>8.9999973773956299</v>
      </c>
      <c r="X52" s="11">
        <f>IF('LL Revascularisation Summary'!$P$3=2, T52, IF('LL Revascularisation Summary'!$P$3=1,O52))</f>
        <v>11.000001430511475</v>
      </c>
      <c r="Y52" s="59">
        <f t="shared" si="5"/>
        <v>0.24605678233438485</v>
      </c>
      <c r="Z52" s="59">
        <f t="shared" si="6"/>
        <v>0.16403785488958991</v>
      </c>
      <c r="AA52" s="59">
        <f t="shared" si="7"/>
        <v>0.58990536277602523</v>
      </c>
      <c r="AB52">
        <v>1</v>
      </c>
    </row>
    <row r="53" spans="1:28" x14ac:dyDescent="0.25">
      <c r="A53" t="s">
        <v>626</v>
      </c>
      <c r="B53" t="s">
        <v>518</v>
      </c>
      <c r="C53" s="124">
        <v>42</v>
      </c>
      <c r="D53" s="125" t="s">
        <v>274</v>
      </c>
      <c r="E53" s="126">
        <v>0.55000001192092896</v>
      </c>
      <c r="F53" s="7">
        <v>64</v>
      </c>
      <c r="G53" s="7">
        <v>10</v>
      </c>
      <c r="H53" s="7">
        <v>172</v>
      </c>
      <c r="I53" s="127">
        <v>246</v>
      </c>
      <c r="J53" t="str">
        <f t="shared" si="0"/>
        <v>RNN</v>
      </c>
      <c r="K53">
        <v>32</v>
      </c>
      <c r="L53" s="11">
        <v>5</v>
      </c>
      <c r="M53">
        <v>2</v>
      </c>
      <c r="N53">
        <v>9</v>
      </c>
      <c r="O53">
        <f t="shared" si="1"/>
        <v>3</v>
      </c>
      <c r="P53">
        <f t="shared" si="2"/>
        <v>4</v>
      </c>
      <c r="Q53" s="11">
        <v>55.000001192092896</v>
      </c>
      <c r="R53">
        <v>38.999998569488525</v>
      </c>
      <c r="S53">
        <v>69.999998807907104</v>
      </c>
      <c r="T53">
        <f t="shared" si="3"/>
        <v>16.00000262260437</v>
      </c>
      <c r="U53">
        <f t="shared" si="4"/>
        <v>14.999997615814209</v>
      </c>
      <c r="V53">
        <f>IF('LL Revascularisation Summary'!$P$3=2, Q53, IF('LL Revascularisation Summary'!$P$3=1,L53))</f>
        <v>55.000001192092896</v>
      </c>
      <c r="W53" s="11">
        <f>IF('LL Revascularisation Summary'!$P$3=2, U53, IF('LL Revascularisation Summary'!$P$3=1,P53))</f>
        <v>14.999997615814209</v>
      </c>
      <c r="X53" s="11">
        <f>IF('LL Revascularisation Summary'!$P$3=2, T53, IF('LL Revascularisation Summary'!$P$3=1,O53))</f>
        <v>16.00000262260437</v>
      </c>
      <c r="Y53" s="59">
        <f t="shared" si="5"/>
        <v>0.26016260162601629</v>
      </c>
      <c r="Z53" s="59">
        <f t="shared" si="6"/>
        <v>4.065040650406504E-2</v>
      </c>
      <c r="AA53" s="59">
        <f t="shared" si="7"/>
        <v>0.69918699186991873</v>
      </c>
      <c r="AB53">
        <v>1</v>
      </c>
    </row>
    <row r="54" spans="1:28" x14ac:dyDescent="0.25">
      <c r="A54" t="s">
        <v>36</v>
      </c>
      <c r="B54" t="s">
        <v>37</v>
      </c>
      <c r="C54" s="124">
        <v>0</v>
      </c>
      <c r="D54" s="125" t="s">
        <v>276</v>
      </c>
      <c r="E54" s="129" t="s">
        <v>276</v>
      </c>
      <c r="F54" s="7" t="s">
        <v>284</v>
      </c>
      <c r="G54" s="7" t="s">
        <v>284</v>
      </c>
      <c r="H54" s="7" t="s">
        <v>284</v>
      </c>
      <c r="I54" s="127" t="s">
        <v>284</v>
      </c>
      <c r="J54" t="str">
        <f t="shared" si="0"/>
        <v>RGN</v>
      </c>
      <c r="K54">
        <v>83</v>
      </c>
      <c r="L54" t="s">
        <v>859</v>
      </c>
      <c r="M54" t="e">
        <v>#VALUE!</v>
      </c>
      <c r="N54" t="e">
        <v>#VALUE!</v>
      </c>
      <c r="O54" t="e">
        <f t="shared" si="1"/>
        <v>#VALUE!</v>
      </c>
      <c r="P54" t="e">
        <f t="shared" si="2"/>
        <v>#VALUE!</v>
      </c>
      <c r="Q54" s="11" t="e">
        <v>#VALUE!</v>
      </c>
      <c r="R54" t="e">
        <v>#VALUE!</v>
      </c>
      <c r="S54" t="e">
        <v>#VALUE!</v>
      </c>
      <c r="T54" t="e">
        <f t="shared" si="3"/>
        <v>#VALUE!</v>
      </c>
      <c r="U54" t="e">
        <f t="shared" si="4"/>
        <v>#VALUE!</v>
      </c>
      <c r="V54" t="e">
        <f>IF('LL Revascularisation Summary'!$P$3=2, Q54, IF('LL Revascularisation Summary'!$P$3=1,L54))</f>
        <v>#VALUE!</v>
      </c>
      <c r="W54" s="11" t="e">
        <f>IF('LL Revascularisation Summary'!$P$3=2, U54, IF('LL Revascularisation Summary'!$P$3=1,P54))</f>
        <v>#VALUE!</v>
      </c>
      <c r="X54" s="11" t="e">
        <f>IF('LL Revascularisation Summary'!$P$3=2, T54, IF('LL Revascularisation Summary'!$P$3=1,O54))</f>
        <v>#VALUE!</v>
      </c>
      <c r="Y54" s="59" t="e">
        <f t="shared" si="5"/>
        <v>#VALUE!</v>
      </c>
      <c r="Z54" s="59" t="e">
        <f t="shared" si="6"/>
        <v>#VALUE!</v>
      </c>
      <c r="AA54" s="59" t="e">
        <f t="shared" si="7"/>
        <v>#VALUE!</v>
      </c>
      <c r="AB54">
        <v>0</v>
      </c>
    </row>
    <row r="55" spans="1:28" x14ac:dyDescent="0.25">
      <c r="A55" t="s">
        <v>72</v>
      </c>
      <c r="B55" t="s">
        <v>73</v>
      </c>
      <c r="C55" s="124">
        <v>59</v>
      </c>
      <c r="D55" s="125" t="s">
        <v>273</v>
      </c>
      <c r="E55" s="126">
        <v>0.62999999523162842</v>
      </c>
      <c r="F55" s="7">
        <v>54</v>
      </c>
      <c r="G55" s="7">
        <v>14</v>
      </c>
      <c r="H55" s="7">
        <v>125</v>
      </c>
      <c r="I55" s="127">
        <v>193</v>
      </c>
      <c r="J55" t="str">
        <f t="shared" si="0"/>
        <v>RNS</v>
      </c>
      <c r="K55">
        <v>22</v>
      </c>
      <c r="L55" s="11">
        <v>4</v>
      </c>
      <c r="M55">
        <v>1</v>
      </c>
      <c r="N55">
        <v>7</v>
      </c>
      <c r="O55">
        <f t="shared" si="1"/>
        <v>3</v>
      </c>
      <c r="P55">
        <f t="shared" si="2"/>
        <v>3</v>
      </c>
      <c r="Q55" s="11">
        <v>62.999999523162842</v>
      </c>
      <c r="R55">
        <v>49.000000953674316</v>
      </c>
      <c r="S55">
        <v>75</v>
      </c>
      <c r="T55">
        <f t="shared" si="3"/>
        <v>13.999998569488525</v>
      </c>
      <c r="U55">
        <f t="shared" si="4"/>
        <v>12.000000476837158</v>
      </c>
      <c r="V55">
        <f>IF('LL Revascularisation Summary'!$P$3=2, Q55, IF('LL Revascularisation Summary'!$P$3=1,L55))</f>
        <v>62.999999523162842</v>
      </c>
      <c r="W55" s="11">
        <f>IF('LL Revascularisation Summary'!$P$3=2, U55, IF('LL Revascularisation Summary'!$P$3=1,P55))</f>
        <v>12.000000476837158</v>
      </c>
      <c r="X55" s="11">
        <f>IF('LL Revascularisation Summary'!$P$3=2, T55, IF('LL Revascularisation Summary'!$P$3=1,O55))</f>
        <v>13.999998569488525</v>
      </c>
      <c r="Y55" s="59">
        <f t="shared" si="5"/>
        <v>0.27979274611398963</v>
      </c>
      <c r="Z55" s="59">
        <f t="shared" si="6"/>
        <v>7.2538860103626937E-2</v>
      </c>
      <c r="AA55" s="59">
        <f t="shared" si="7"/>
        <v>0.64766839378238339</v>
      </c>
      <c r="AB55">
        <v>1</v>
      </c>
    </row>
    <row r="56" spans="1:28" x14ac:dyDescent="0.25">
      <c r="A56" t="s">
        <v>622</v>
      </c>
      <c r="B56" t="s">
        <v>623</v>
      </c>
      <c r="C56" s="124">
        <v>124</v>
      </c>
      <c r="D56" s="125" t="s">
        <v>718</v>
      </c>
      <c r="E56" s="126">
        <v>0.40000000596046448</v>
      </c>
      <c r="F56" s="7">
        <v>94</v>
      </c>
      <c r="G56" s="7">
        <v>102</v>
      </c>
      <c r="H56" s="7">
        <v>100</v>
      </c>
      <c r="I56" s="127">
        <v>296</v>
      </c>
      <c r="J56" t="str">
        <f t="shared" si="0"/>
        <v>RM3</v>
      </c>
      <c r="K56">
        <v>51</v>
      </c>
      <c r="L56" s="11">
        <v>7</v>
      </c>
      <c r="M56">
        <v>4</v>
      </c>
      <c r="N56">
        <v>9</v>
      </c>
      <c r="O56">
        <f t="shared" si="1"/>
        <v>3</v>
      </c>
      <c r="P56">
        <f t="shared" si="2"/>
        <v>2</v>
      </c>
      <c r="Q56" s="11">
        <v>40.000000596046448</v>
      </c>
      <c r="R56">
        <v>31.000000238418579</v>
      </c>
      <c r="S56">
        <v>49.000000953674316</v>
      </c>
      <c r="T56">
        <f t="shared" si="3"/>
        <v>9.0000003576278687</v>
      </c>
      <c r="U56">
        <f t="shared" si="4"/>
        <v>9.0000003576278687</v>
      </c>
      <c r="V56">
        <f>IF('LL Revascularisation Summary'!$P$3=2, Q56, IF('LL Revascularisation Summary'!$P$3=1,L56))</f>
        <v>40.000000596046448</v>
      </c>
      <c r="W56" s="11">
        <f>IF('LL Revascularisation Summary'!$P$3=2, U56, IF('LL Revascularisation Summary'!$P$3=1,P56))</f>
        <v>9.0000003576278687</v>
      </c>
      <c r="X56" s="11">
        <f>IF('LL Revascularisation Summary'!$P$3=2, T56, IF('LL Revascularisation Summary'!$P$3=1,O56))</f>
        <v>9.0000003576278687</v>
      </c>
      <c r="Y56" s="59">
        <f t="shared" si="5"/>
        <v>0.31756756756756754</v>
      </c>
      <c r="Z56" s="59">
        <f t="shared" si="6"/>
        <v>0.34459459459459457</v>
      </c>
      <c r="AA56" s="59">
        <f t="shared" si="7"/>
        <v>0.33783783783783783</v>
      </c>
      <c r="AB56">
        <v>1</v>
      </c>
    </row>
    <row r="57" spans="1:28" x14ac:dyDescent="0.25">
      <c r="A57" t="s">
        <v>119</v>
      </c>
      <c r="B57" t="s">
        <v>120</v>
      </c>
      <c r="C57" s="124">
        <v>24</v>
      </c>
      <c r="D57" s="125" t="s">
        <v>272</v>
      </c>
      <c r="E57" s="126">
        <v>0.37999999523162842</v>
      </c>
      <c r="F57" s="7">
        <v>49</v>
      </c>
      <c r="G57" s="7">
        <v>1</v>
      </c>
      <c r="H57" s="7">
        <v>0</v>
      </c>
      <c r="I57" s="127">
        <v>50</v>
      </c>
      <c r="J57" t="str">
        <f t="shared" si="0"/>
        <v>RX1</v>
      </c>
      <c r="K57">
        <v>54</v>
      </c>
      <c r="L57" s="11">
        <v>6</v>
      </c>
      <c r="M57">
        <v>2</v>
      </c>
      <c r="N57">
        <v>10</v>
      </c>
      <c r="O57">
        <f t="shared" si="1"/>
        <v>4</v>
      </c>
      <c r="P57">
        <f t="shared" si="2"/>
        <v>4</v>
      </c>
      <c r="Q57" s="11">
        <v>37.999999523162842</v>
      </c>
      <c r="R57">
        <v>18.999999761581421</v>
      </c>
      <c r="S57">
        <v>58.99999737739563</v>
      </c>
      <c r="T57">
        <f t="shared" si="3"/>
        <v>18.999999761581421</v>
      </c>
      <c r="U57">
        <f t="shared" si="4"/>
        <v>20.999997854232788</v>
      </c>
      <c r="V57">
        <f>IF('LL Revascularisation Summary'!$P$3=2, Q57, IF('LL Revascularisation Summary'!$P$3=1,L57))</f>
        <v>37.999999523162842</v>
      </c>
      <c r="W57" s="11">
        <f>IF('LL Revascularisation Summary'!$P$3=2, U57, IF('LL Revascularisation Summary'!$P$3=1,P57))</f>
        <v>20.999997854232788</v>
      </c>
      <c r="X57" s="11">
        <f>IF('LL Revascularisation Summary'!$P$3=2, T57, IF('LL Revascularisation Summary'!$P$3=1,O57))</f>
        <v>18.999999761581421</v>
      </c>
      <c r="Y57" s="59">
        <f t="shared" si="5"/>
        <v>0.98</v>
      </c>
      <c r="Z57" s="59">
        <f t="shared" si="6"/>
        <v>0.02</v>
      </c>
      <c r="AA57" s="59">
        <f t="shared" si="7"/>
        <v>0</v>
      </c>
      <c r="AB57">
        <v>1</v>
      </c>
    </row>
    <row r="58" spans="1:28" x14ac:dyDescent="0.25">
      <c r="A58" t="s">
        <v>96</v>
      </c>
      <c r="B58" t="s">
        <v>360</v>
      </c>
      <c r="C58" s="124">
        <v>10</v>
      </c>
      <c r="D58" s="125" t="s">
        <v>235</v>
      </c>
      <c r="E58" s="126">
        <v>1</v>
      </c>
      <c r="F58" s="7">
        <v>34</v>
      </c>
      <c r="G58" s="7">
        <v>6</v>
      </c>
      <c r="H58" s="7">
        <v>4</v>
      </c>
      <c r="I58" s="127">
        <v>44</v>
      </c>
      <c r="J58" t="str">
        <f t="shared" si="0"/>
        <v>RTH</v>
      </c>
      <c r="K58">
        <v>1</v>
      </c>
      <c r="L58" s="11">
        <v>2</v>
      </c>
      <c r="M58">
        <v>1</v>
      </c>
      <c r="N58">
        <v>3</v>
      </c>
      <c r="O58">
        <f t="shared" si="1"/>
        <v>1</v>
      </c>
      <c r="P58">
        <f t="shared" si="2"/>
        <v>1</v>
      </c>
      <c r="Q58" s="11">
        <v>100</v>
      </c>
      <c r="R58">
        <v>68.999999761581421</v>
      </c>
      <c r="S58">
        <v>100</v>
      </c>
      <c r="T58">
        <f t="shared" si="3"/>
        <v>31.000000238418579</v>
      </c>
      <c r="U58">
        <f t="shared" si="4"/>
        <v>0</v>
      </c>
      <c r="V58">
        <f>IF('LL Revascularisation Summary'!$P$3=2, Q58, IF('LL Revascularisation Summary'!$P$3=1,L58))</f>
        <v>100</v>
      </c>
      <c r="W58" s="11">
        <f>IF('LL Revascularisation Summary'!$P$3=2, U58, IF('LL Revascularisation Summary'!$P$3=1,P58))</f>
        <v>0</v>
      </c>
      <c r="X58" s="11">
        <f>IF('LL Revascularisation Summary'!$P$3=2, T58, IF('LL Revascularisation Summary'!$P$3=1,O58))</f>
        <v>31.000000238418579</v>
      </c>
      <c r="Y58" s="59">
        <f t="shared" si="5"/>
        <v>0.77272727272727271</v>
      </c>
      <c r="Z58" s="59">
        <f t="shared" si="6"/>
        <v>0.13636363636363635</v>
      </c>
      <c r="AA58" s="59">
        <f t="shared" si="7"/>
        <v>9.0909090909090912E-2</v>
      </c>
      <c r="AB58">
        <v>1</v>
      </c>
    </row>
    <row r="59" spans="1:28" x14ac:dyDescent="0.25">
      <c r="A59" t="s">
        <v>79</v>
      </c>
      <c r="B59" t="s">
        <v>80</v>
      </c>
      <c r="C59" s="124">
        <v>0</v>
      </c>
      <c r="D59" s="125" t="s">
        <v>276</v>
      </c>
      <c r="E59" s="129" t="s">
        <v>276</v>
      </c>
      <c r="F59" s="7" t="s">
        <v>284</v>
      </c>
      <c r="G59" s="7" t="s">
        <v>284</v>
      </c>
      <c r="H59" s="7" t="s">
        <v>284</v>
      </c>
      <c r="I59" s="127" t="s">
        <v>284</v>
      </c>
      <c r="J59" t="str">
        <f t="shared" si="0"/>
        <v>RQW</v>
      </c>
      <c r="K59">
        <v>84</v>
      </c>
      <c r="L59" t="s">
        <v>859</v>
      </c>
      <c r="M59" t="e">
        <v>#VALUE!</v>
      </c>
      <c r="N59" t="e">
        <v>#VALUE!</v>
      </c>
      <c r="O59" t="e">
        <f t="shared" si="1"/>
        <v>#VALUE!</v>
      </c>
      <c r="P59" t="e">
        <f t="shared" si="2"/>
        <v>#VALUE!</v>
      </c>
      <c r="Q59" s="11" t="e">
        <v>#VALUE!</v>
      </c>
      <c r="R59" t="e">
        <v>#VALUE!</v>
      </c>
      <c r="S59" t="e">
        <v>#VALUE!</v>
      </c>
      <c r="T59" t="e">
        <f t="shared" si="3"/>
        <v>#VALUE!</v>
      </c>
      <c r="U59" t="e">
        <f t="shared" si="4"/>
        <v>#VALUE!</v>
      </c>
      <c r="V59" t="e">
        <f>IF('LL Revascularisation Summary'!$P$3=2, Q59, IF('LL Revascularisation Summary'!$P$3=1,L59))</f>
        <v>#VALUE!</v>
      </c>
      <c r="W59" s="11" t="e">
        <f>IF('LL Revascularisation Summary'!$P$3=2, U59, IF('LL Revascularisation Summary'!$P$3=1,P59))</f>
        <v>#VALUE!</v>
      </c>
      <c r="X59" s="11" t="e">
        <f>IF('LL Revascularisation Summary'!$P$3=2, T59, IF('LL Revascularisation Summary'!$P$3=1,O59))</f>
        <v>#VALUE!</v>
      </c>
      <c r="Y59" s="59" t="e">
        <f t="shared" si="5"/>
        <v>#VALUE!</v>
      </c>
      <c r="Z59" s="59" t="e">
        <f t="shared" si="6"/>
        <v>#VALUE!</v>
      </c>
      <c r="AA59" s="59" t="e">
        <f t="shared" si="7"/>
        <v>#VALUE!</v>
      </c>
      <c r="AB59">
        <v>0</v>
      </c>
    </row>
    <row r="60" spans="1:28" x14ac:dyDescent="0.25">
      <c r="A60" t="s">
        <v>48</v>
      </c>
      <c r="B60" t="s">
        <v>49</v>
      </c>
      <c r="C60" s="130">
        <v>13</v>
      </c>
      <c r="D60" s="131" t="s">
        <v>719</v>
      </c>
      <c r="E60" s="132">
        <v>7.9999998211860657E-2</v>
      </c>
      <c r="F60" s="7" t="s">
        <v>284</v>
      </c>
      <c r="G60" s="7" t="s">
        <v>284</v>
      </c>
      <c r="H60" s="7" t="s">
        <v>284</v>
      </c>
      <c r="I60" s="127" t="s">
        <v>284</v>
      </c>
      <c r="J60" t="str">
        <f t="shared" si="0"/>
        <v>RHW</v>
      </c>
      <c r="K60">
        <v>65</v>
      </c>
      <c r="L60" s="11">
        <v>11</v>
      </c>
      <c r="M60">
        <v>8</v>
      </c>
      <c r="N60">
        <v>13</v>
      </c>
      <c r="O60">
        <f t="shared" si="1"/>
        <v>3</v>
      </c>
      <c r="P60">
        <f t="shared" si="2"/>
        <v>2</v>
      </c>
      <c r="Q60" s="11">
        <v>7.9999998211860657</v>
      </c>
      <c r="R60">
        <v>0</v>
      </c>
      <c r="S60">
        <v>36.000001430511475</v>
      </c>
      <c r="T60">
        <f t="shared" si="3"/>
        <v>7.9999998211860657</v>
      </c>
      <c r="U60">
        <f t="shared" si="4"/>
        <v>28.000001609325409</v>
      </c>
      <c r="V60">
        <f>IF('LL Revascularisation Summary'!$P$3=2, Q60, IF('LL Revascularisation Summary'!$P$3=1,L60))</f>
        <v>7.9999998211860657</v>
      </c>
      <c r="W60" s="11">
        <f>IF('LL Revascularisation Summary'!$P$3=2, U60, IF('LL Revascularisation Summary'!$P$3=1,P60))</f>
        <v>28.000001609325409</v>
      </c>
      <c r="X60" s="11">
        <f>IF('LL Revascularisation Summary'!$P$3=2, T60, IF('LL Revascularisation Summary'!$P$3=1,O60))</f>
        <v>7.9999998211860657</v>
      </c>
      <c r="Y60" s="59" t="e">
        <f t="shared" si="5"/>
        <v>#VALUE!</v>
      </c>
      <c r="Z60" s="59" t="e">
        <f t="shared" si="6"/>
        <v>#VALUE!</v>
      </c>
      <c r="AA60" s="59" t="e">
        <f t="shared" si="7"/>
        <v>#VALUE!</v>
      </c>
      <c r="AB60">
        <v>0</v>
      </c>
    </row>
    <row r="61" spans="1:28" x14ac:dyDescent="0.25">
      <c r="A61" t="s">
        <v>89</v>
      </c>
      <c r="B61" t="s">
        <v>90</v>
      </c>
      <c r="C61" s="124">
        <v>0</v>
      </c>
      <c r="D61" s="125" t="s">
        <v>276</v>
      </c>
      <c r="E61" s="129" t="s">
        <v>276</v>
      </c>
      <c r="F61" s="7" t="s">
        <v>284</v>
      </c>
      <c r="G61" s="7" t="s">
        <v>284</v>
      </c>
      <c r="H61" s="7" t="s">
        <v>284</v>
      </c>
      <c r="I61" s="127" t="s">
        <v>284</v>
      </c>
      <c r="J61" t="str">
        <f t="shared" si="0"/>
        <v>RT3</v>
      </c>
      <c r="K61">
        <v>85</v>
      </c>
      <c r="L61" t="s">
        <v>859</v>
      </c>
      <c r="M61" t="e">
        <v>#VALUE!</v>
      </c>
      <c r="N61" t="e">
        <v>#VALUE!</v>
      </c>
      <c r="O61" t="e">
        <f t="shared" si="1"/>
        <v>#VALUE!</v>
      </c>
      <c r="P61" t="e">
        <f t="shared" si="2"/>
        <v>#VALUE!</v>
      </c>
      <c r="Q61" s="11" t="e">
        <v>#VALUE!</v>
      </c>
      <c r="R61" t="e">
        <v>#VALUE!</v>
      </c>
      <c r="S61" t="e">
        <v>#VALUE!</v>
      </c>
      <c r="T61" t="e">
        <f t="shared" si="3"/>
        <v>#VALUE!</v>
      </c>
      <c r="U61" t="e">
        <f t="shared" si="4"/>
        <v>#VALUE!</v>
      </c>
      <c r="V61" t="e">
        <f>IF('LL Revascularisation Summary'!$P$3=2, Q61, IF('LL Revascularisation Summary'!$P$3=1,L61))</f>
        <v>#VALUE!</v>
      </c>
      <c r="W61" s="11" t="e">
        <f>IF('LL Revascularisation Summary'!$P$3=2, U61, IF('LL Revascularisation Summary'!$P$3=1,P61))</f>
        <v>#VALUE!</v>
      </c>
      <c r="X61" s="11" t="e">
        <f>IF('LL Revascularisation Summary'!$P$3=2, T61, IF('LL Revascularisation Summary'!$P$3=1,O61))</f>
        <v>#VALUE!</v>
      </c>
      <c r="Y61" s="59" t="e">
        <f t="shared" si="5"/>
        <v>#VALUE!</v>
      </c>
      <c r="Z61" s="59" t="e">
        <f t="shared" si="6"/>
        <v>#VALUE!</v>
      </c>
      <c r="AA61" s="59" t="e">
        <f t="shared" si="7"/>
        <v>#VALUE!</v>
      </c>
      <c r="AB61">
        <v>0</v>
      </c>
    </row>
    <row r="62" spans="1:28" x14ac:dyDescent="0.25">
      <c r="A62" t="s">
        <v>32</v>
      </c>
      <c r="B62" t="s">
        <v>33</v>
      </c>
      <c r="C62" s="124">
        <v>52</v>
      </c>
      <c r="D62" s="125" t="s">
        <v>217</v>
      </c>
      <c r="E62" s="126">
        <v>0.87999999523162842</v>
      </c>
      <c r="F62" s="7">
        <v>52</v>
      </c>
      <c r="G62" s="7">
        <v>14</v>
      </c>
      <c r="H62" s="7">
        <v>120</v>
      </c>
      <c r="I62" s="127">
        <v>186</v>
      </c>
      <c r="J62" t="str">
        <f t="shared" si="0"/>
        <v>REF</v>
      </c>
      <c r="K62">
        <v>2</v>
      </c>
      <c r="L62" s="11">
        <v>0</v>
      </c>
      <c r="M62">
        <v>0</v>
      </c>
      <c r="N62">
        <v>2</v>
      </c>
      <c r="O62">
        <f t="shared" si="1"/>
        <v>0</v>
      </c>
      <c r="P62">
        <f t="shared" si="2"/>
        <v>2</v>
      </c>
      <c r="Q62" s="11">
        <v>87.999999523162842</v>
      </c>
      <c r="R62">
        <v>76.999998092651367</v>
      </c>
      <c r="S62">
        <v>95.999997854232788</v>
      </c>
      <c r="T62">
        <f t="shared" si="3"/>
        <v>11.000001430511475</v>
      </c>
      <c r="U62">
        <f t="shared" si="4"/>
        <v>7.9999983310699463</v>
      </c>
      <c r="V62">
        <f>IF('LL Revascularisation Summary'!$P$3=2, Q62, IF('LL Revascularisation Summary'!$P$3=1,L62))</f>
        <v>87.999999523162842</v>
      </c>
      <c r="W62" s="11">
        <f>IF('LL Revascularisation Summary'!$P$3=2, U62, IF('LL Revascularisation Summary'!$P$3=1,P62))</f>
        <v>7.9999983310699463</v>
      </c>
      <c r="X62" s="11">
        <f>IF('LL Revascularisation Summary'!$P$3=2, T62, IF('LL Revascularisation Summary'!$P$3=1,O62))</f>
        <v>11.000001430511475</v>
      </c>
      <c r="Y62" s="59">
        <f t="shared" si="5"/>
        <v>0.27956989247311825</v>
      </c>
      <c r="Z62" s="59">
        <f t="shared" si="6"/>
        <v>7.5268817204301078E-2</v>
      </c>
      <c r="AA62" s="59">
        <f t="shared" si="7"/>
        <v>0.64516129032258063</v>
      </c>
      <c r="AB62">
        <v>1</v>
      </c>
    </row>
    <row r="63" spans="1:28" x14ac:dyDescent="0.25">
      <c r="A63" t="s">
        <v>42</v>
      </c>
      <c r="B63" t="s">
        <v>43</v>
      </c>
      <c r="C63" s="124">
        <v>20</v>
      </c>
      <c r="D63" s="125" t="s">
        <v>242</v>
      </c>
      <c r="E63" s="126">
        <v>0.55000001192092896</v>
      </c>
      <c r="F63" s="7">
        <v>82</v>
      </c>
      <c r="G63" s="7">
        <v>0</v>
      </c>
      <c r="H63" s="7">
        <v>132</v>
      </c>
      <c r="I63" s="127">
        <v>214</v>
      </c>
      <c r="J63" t="str">
        <f t="shared" si="0"/>
        <v>RH8</v>
      </c>
      <c r="K63">
        <v>33</v>
      </c>
      <c r="L63" s="11">
        <v>5</v>
      </c>
      <c r="M63">
        <v>2</v>
      </c>
      <c r="N63">
        <v>10</v>
      </c>
      <c r="O63">
        <f t="shared" si="1"/>
        <v>3</v>
      </c>
      <c r="P63">
        <f t="shared" si="2"/>
        <v>5</v>
      </c>
      <c r="Q63" s="11">
        <v>55.000001192092896</v>
      </c>
      <c r="R63">
        <v>31.999999284744263</v>
      </c>
      <c r="S63">
        <v>76.999998092651367</v>
      </c>
      <c r="T63">
        <f t="shared" si="3"/>
        <v>23.000001907348633</v>
      </c>
      <c r="U63">
        <f t="shared" si="4"/>
        <v>21.999996900558472</v>
      </c>
      <c r="V63">
        <f>IF('LL Revascularisation Summary'!$P$3=2, Q63, IF('LL Revascularisation Summary'!$P$3=1,L63))</f>
        <v>55.000001192092896</v>
      </c>
      <c r="W63" s="11">
        <f>IF('LL Revascularisation Summary'!$P$3=2, U63, IF('LL Revascularisation Summary'!$P$3=1,P63))</f>
        <v>21.999996900558472</v>
      </c>
      <c r="X63" s="11">
        <f>IF('LL Revascularisation Summary'!$P$3=2, T63, IF('LL Revascularisation Summary'!$P$3=1,O63))</f>
        <v>23.000001907348633</v>
      </c>
      <c r="Y63" s="59">
        <f t="shared" si="5"/>
        <v>0.38317757009345793</v>
      </c>
      <c r="Z63" s="59">
        <f t="shared" si="6"/>
        <v>0</v>
      </c>
      <c r="AA63" s="59">
        <f t="shared" si="7"/>
        <v>0.61682242990654201</v>
      </c>
      <c r="AB63">
        <v>1</v>
      </c>
    </row>
    <row r="64" spans="1:28" x14ac:dyDescent="0.25">
      <c r="A64" t="s">
        <v>19</v>
      </c>
      <c r="B64" t="s">
        <v>20</v>
      </c>
      <c r="C64" s="124" t="s">
        <v>369</v>
      </c>
      <c r="D64" s="125" t="s">
        <v>284</v>
      </c>
      <c r="E64" s="126" t="s">
        <v>284</v>
      </c>
      <c r="F64" s="7" t="s">
        <v>284</v>
      </c>
      <c r="G64" s="7" t="s">
        <v>284</v>
      </c>
      <c r="H64" s="7" t="s">
        <v>284</v>
      </c>
      <c r="I64" s="127" t="s">
        <v>284</v>
      </c>
      <c r="J64" t="str">
        <f t="shared" si="0"/>
        <v>RAL</v>
      </c>
      <c r="K64">
        <v>69</v>
      </c>
      <c r="L64" t="s">
        <v>284</v>
      </c>
      <c r="M64" t="e">
        <v>#VALUE!</v>
      </c>
      <c r="N64" t="e">
        <v>#VALUE!</v>
      </c>
      <c r="O64" t="e">
        <f t="shared" si="1"/>
        <v>#VALUE!</v>
      </c>
      <c r="P64" t="e">
        <f t="shared" si="2"/>
        <v>#VALUE!</v>
      </c>
      <c r="Q64" s="11" t="e">
        <v>#VALUE!</v>
      </c>
      <c r="R64" s="11" t="e">
        <v>#VALUE!</v>
      </c>
      <c r="S64" s="11" t="e">
        <v>#VALUE!</v>
      </c>
      <c r="T64" t="e">
        <f t="shared" si="3"/>
        <v>#VALUE!</v>
      </c>
      <c r="U64" t="e">
        <f t="shared" si="4"/>
        <v>#VALUE!</v>
      </c>
      <c r="V64" t="e">
        <f>IF('LL Revascularisation Summary'!$P$3=2, Q64, IF('LL Revascularisation Summary'!$P$3=1,L64))</f>
        <v>#VALUE!</v>
      </c>
      <c r="W64" s="11" t="e">
        <f>IF('LL Revascularisation Summary'!$P$3=2, U64, IF('LL Revascularisation Summary'!$P$3=1,P64))</f>
        <v>#VALUE!</v>
      </c>
      <c r="X64" s="11" t="e">
        <f>IF('LL Revascularisation Summary'!$P$3=2, T64, IF('LL Revascularisation Summary'!$P$3=1,O64))</f>
        <v>#VALUE!</v>
      </c>
      <c r="Y64" s="59" t="e">
        <f t="shared" si="5"/>
        <v>#VALUE!</v>
      </c>
      <c r="Z64" s="59" t="e">
        <f t="shared" si="6"/>
        <v>#VALUE!</v>
      </c>
      <c r="AA64" s="59" t="e">
        <f t="shared" si="7"/>
        <v>#VALUE!</v>
      </c>
      <c r="AB64">
        <v>0</v>
      </c>
    </row>
    <row r="65" spans="1:28" x14ac:dyDescent="0.25">
      <c r="A65" t="s">
        <v>361</v>
      </c>
      <c r="B65" t="s">
        <v>362</v>
      </c>
      <c r="C65" s="124">
        <v>0</v>
      </c>
      <c r="D65" s="125" t="s">
        <v>276</v>
      </c>
      <c r="E65" s="129" t="s">
        <v>276</v>
      </c>
      <c r="F65" s="7" t="s">
        <v>284</v>
      </c>
      <c r="G65" s="7" t="s">
        <v>284</v>
      </c>
      <c r="H65" s="7" t="s">
        <v>284</v>
      </c>
      <c r="I65" s="127" t="s">
        <v>284</v>
      </c>
      <c r="J65" t="str">
        <f t="shared" si="0"/>
        <v>RD1</v>
      </c>
      <c r="K65">
        <v>86</v>
      </c>
      <c r="L65" t="s">
        <v>859</v>
      </c>
      <c r="M65" t="e">
        <v>#VALUE!</v>
      </c>
      <c r="N65" t="e">
        <v>#VALUE!</v>
      </c>
      <c r="O65" t="e">
        <f t="shared" si="1"/>
        <v>#VALUE!</v>
      </c>
      <c r="P65" t="e">
        <f t="shared" si="2"/>
        <v>#VALUE!</v>
      </c>
      <c r="Q65" s="11" t="e">
        <v>#VALUE!</v>
      </c>
      <c r="R65" t="e">
        <v>#VALUE!</v>
      </c>
      <c r="S65" t="e">
        <v>#VALUE!</v>
      </c>
      <c r="T65" t="e">
        <f t="shared" si="3"/>
        <v>#VALUE!</v>
      </c>
      <c r="U65" t="e">
        <f t="shared" si="4"/>
        <v>#VALUE!</v>
      </c>
      <c r="V65" t="e">
        <f>IF('LL Revascularisation Summary'!$P$3=2, Q65, IF('LL Revascularisation Summary'!$P$3=1,L65))</f>
        <v>#VALUE!</v>
      </c>
      <c r="W65" s="11" t="e">
        <f>IF('LL Revascularisation Summary'!$P$3=2, U65, IF('LL Revascularisation Summary'!$P$3=1,P65))</f>
        <v>#VALUE!</v>
      </c>
      <c r="X65" s="11" t="e">
        <f>IF('LL Revascularisation Summary'!$P$3=2, T65, IF('LL Revascularisation Summary'!$P$3=1,O65))</f>
        <v>#VALUE!</v>
      </c>
      <c r="Y65" s="59" t="e">
        <f t="shared" si="5"/>
        <v>#VALUE!</v>
      </c>
      <c r="Z65" s="59" t="e">
        <f t="shared" si="6"/>
        <v>#VALUE!</v>
      </c>
      <c r="AA65" s="59" t="e">
        <f t="shared" si="7"/>
        <v>#VALUE!</v>
      </c>
      <c r="AB65">
        <v>0</v>
      </c>
    </row>
    <row r="66" spans="1:28" x14ac:dyDescent="0.25">
      <c r="A66" t="s">
        <v>63</v>
      </c>
      <c r="B66" t="s">
        <v>64</v>
      </c>
      <c r="C66" s="124">
        <v>0</v>
      </c>
      <c r="D66" s="125" t="s">
        <v>276</v>
      </c>
      <c r="E66" s="129" t="s">
        <v>276</v>
      </c>
      <c r="F66" s="7" t="s">
        <v>284</v>
      </c>
      <c r="G66" s="7" t="s">
        <v>284</v>
      </c>
      <c r="H66" s="7" t="s">
        <v>284</v>
      </c>
      <c r="I66" s="127" t="s">
        <v>284</v>
      </c>
      <c r="J66" t="str">
        <f t="shared" si="0"/>
        <v>RL4</v>
      </c>
      <c r="K66">
        <v>87</v>
      </c>
      <c r="L66" t="s">
        <v>859</v>
      </c>
      <c r="M66" t="e">
        <v>#VALUE!</v>
      </c>
      <c r="N66" t="e">
        <v>#VALUE!</v>
      </c>
      <c r="O66" t="e">
        <f t="shared" si="1"/>
        <v>#VALUE!</v>
      </c>
      <c r="P66" t="e">
        <f t="shared" si="2"/>
        <v>#VALUE!</v>
      </c>
      <c r="Q66" s="11" t="e">
        <v>#VALUE!</v>
      </c>
      <c r="R66" t="e">
        <v>#VALUE!</v>
      </c>
      <c r="S66" t="e">
        <v>#VALUE!</v>
      </c>
      <c r="T66" t="e">
        <f t="shared" si="3"/>
        <v>#VALUE!</v>
      </c>
      <c r="U66" t="e">
        <f t="shared" si="4"/>
        <v>#VALUE!</v>
      </c>
      <c r="V66" t="e">
        <f>IF('LL Revascularisation Summary'!$P$3=2, Q66, IF('LL Revascularisation Summary'!$P$3=1,L66))</f>
        <v>#VALUE!</v>
      </c>
      <c r="W66" s="11" t="e">
        <f>IF('LL Revascularisation Summary'!$P$3=2, U66, IF('LL Revascularisation Summary'!$P$3=1,P66))</f>
        <v>#VALUE!</v>
      </c>
      <c r="X66" s="11" t="e">
        <f>IF('LL Revascularisation Summary'!$P$3=2, T66, IF('LL Revascularisation Summary'!$P$3=1,O66))</f>
        <v>#VALUE!</v>
      </c>
      <c r="Y66" s="59" t="e">
        <f t="shared" si="5"/>
        <v>#VALUE!</v>
      </c>
      <c r="Z66" s="59" t="e">
        <f t="shared" si="6"/>
        <v>#VALUE!</v>
      </c>
      <c r="AA66" s="59" t="e">
        <f t="shared" si="7"/>
        <v>#VALUE!</v>
      </c>
      <c r="AB66">
        <v>0</v>
      </c>
    </row>
    <row r="67" spans="1:28" x14ac:dyDescent="0.25">
      <c r="A67" t="s">
        <v>46</v>
      </c>
      <c r="B67" t="s">
        <v>47</v>
      </c>
      <c r="C67" s="124">
        <v>22</v>
      </c>
      <c r="D67" s="125" t="s">
        <v>585</v>
      </c>
      <c r="E67" s="126">
        <v>0.40999999642372131</v>
      </c>
      <c r="F67" s="7">
        <v>49</v>
      </c>
      <c r="G67" s="7">
        <v>6</v>
      </c>
      <c r="H67" s="7">
        <v>19</v>
      </c>
      <c r="I67" s="127">
        <v>74</v>
      </c>
      <c r="J67" t="str">
        <f t="shared" ref="J67:J94" si="8">A67</f>
        <v>RHQ</v>
      </c>
      <c r="K67">
        <v>50</v>
      </c>
      <c r="L67" s="11">
        <v>6</v>
      </c>
      <c r="M67">
        <v>4</v>
      </c>
      <c r="N67">
        <v>8</v>
      </c>
      <c r="O67">
        <f t="shared" ref="O67:O94" si="9">L67-M67</f>
        <v>2</v>
      </c>
      <c r="P67">
        <f t="shared" ref="P67:P94" si="10">N67-L67</f>
        <v>2</v>
      </c>
      <c r="Q67" s="11">
        <v>40.999999642372131</v>
      </c>
      <c r="R67">
        <v>20.999999344348907</v>
      </c>
      <c r="S67">
        <v>63.999998569488525</v>
      </c>
      <c r="T67">
        <f t="shared" ref="T67:T94" si="11">Q67-R67</f>
        <v>20.000000298023224</v>
      </c>
      <c r="U67">
        <f t="shared" ref="U67:U94" si="12">S67-Q67</f>
        <v>22.999998927116394</v>
      </c>
      <c r="V67">
        <f>IF('LL Revascularisation Summary'!$P$3=2, Q67, IF('LL Revascularisation Summary'!$P$3=1,L67))</f>
        <v>40.999999642372131</v>
      </c>
      <c r="W67" s="11">
        <f>IF('LL Revascularisation Summary'!$P$3=2, U67, IF('LL Revascularisation Summary'!$P$3=1,P67))</f>
        <v>22.999998927116394</v>
      </c>
      <c r="X67" s="11">
        <f>IF('LL Revascularisation Summary'!$P$3=2, T67, IF('LL Revascularisation Summary'!$P$3=1,O67))</f>
        <v>20.000000298023224</v>
      </c>
      <c r="Y67" s="59">
        <f t="shared" ref="Y67:Y94" si="13">F67/I67</f>
        <v>0.66216216216216217</v>
      </c>
      <c r="Z67" s="59">
        <f t="shared" ref="Z67:Z94" si="14">G67/I67</f>
        <v>8.1081081081081086E-2</v>
      </c>
      <c r="AA67" s="59">
        <f t="shared" ref="AA67:AA94" si="15">H67/I67</f>
        <v>0.25675675675675674</v>
      </c>
      <c r="AB67">
        <v>1</v>
      </c>
    </row>
    <row r="68" spans="1:28" x14ac:dyDescent="0.25">
      <c r="A68" t="s">
        <v>127</v>
      </c>
      <c r="B68" t="s">
        <v>128</v>
      </c>
      <c r="C68" s="124">
        <v>45</v>
      </c>
      <c r="D68" s="125" t="s">
        <v>192</v>
      </c>
      <c r="E68" s="126">
        <v>0.63999998569488525</v>
      </c>
      <c r="F68" s="7">
        <v>63</v>
      </c>
      <c r="G68" s="7">
        <v>13</v>
      </c>
      <c r="H68" s="7">
        <v>130</v>
      </c>
      <c r="I68" s="127">
        <v>206</v>
      </c>
      <c r="J68" t="str">
        <f t="shared" si="8"/>
        <v>RXW</v>
      </c>
      <c r="K68">
        <v>18</v>
      </c>
      <c r="L68" s="11">
        <v>4</v>
      </c>
      <c r="M68">
        <v>2</v>
      </c>
      <c r="N68">
        <v>7</v>
      </c>
      <c r="O68">
        <f t="shared" si="9"/>
        <v>2</v>
      </c>
      <c r="P68">
        <f t="shared" si="10"/>
        <v>3</v>
      </c>
      <c r="Q68" s="11">
        <v>63.999998569488525</v>
      </c>
      <c r="R68">
        <v>49.000000953674316</v>
      </c>
      <c r="S68">
        <v>77.999997138977051</v>
      </c>
      <c r="T68">
        <f t="shared" si="11"/>
        <v>14.999997615814209</v>
      </c>
      <c r="U68">
        <f t="shared" si="12"/>
        <v>13.999998569488525</v>
      </c>
      <c r="V68">
        <f>IF('LL Revascularisation Summary'!$P$3=2, Q68, IF('LL Revascularisation Summary'!$P$3=1,L68))</f>
        <v>63.999998569488525</v>
      </c>
      <c r="W68" s="11">
        <f>IF('LL Revascularisation Summary'!$P$3=2, U68, IF('LL Revascularisation Summary'!$P$3=1,P68))</f>
        <v>13.999998569488525</v>
      </c>
      <c r="X68" s="11">
        <f>IF('LL Revascularisation Summary'!$P$3=2, T68, IF('LL Revascularisation Summary'!$P$3=1,O68))</f>
        <v>14.999997615814209</v>
      </c>
      <c r="Y68" s="59">
        <f t="shared" si="13"/>
        <v>0.30582524271844658</v>
      </c>
      <c r="Z68" s="59">
        <f t="shared" si="14"/>
        <v>6.3106796116504854E-2</v>
      </c>
      <c r="AA68" s="59">
        <f t="shared" si="15"/>
        <v>0.6310679611650486</v>
      </c>
      <c r="AB68">
        <v>1</v>
      </c>
    </row>
    <row r="69" spans="1:28" x14ac:dyDescent="0.25">
      <c r="A69" t="s">
        <v>513</v>
      </c>
      <c r="B69" t="s">
        <v>514</v>
      </c>
      <c r="C69" s="124">
        <v>46</v>
      </c>
      <c r="D69" s="125" t="s">
        <v>240</v>
      </c>
      <c r="E69" s="126">
        <v>0.75999999046325684</v>
      </c>
      <c r="F69" s="7">
        <v>152</v>
      </c>
      <c r="G69" s="7">
        <v>16</v>
      </c>
      <c r="H69" s="7">
        <v>4</v>
      </c>
      <c r="I69" s="127">
        <v>172</v>
      </c>
      <c r="J69" t="str">
        <f t="shared" si="8"/>
        <v>RH5</v>
      </c>
      <c r="K69">
        <v>6</v>
      </c>
      <c r="L69" s="11">
        <v>3</v>
      </c>
      <c r="M69">
        <v>1</v>
      </c>
      <c r="N69">
        <v>5</v>
      </c>
      <c r="O69">
        <f t="shared" si="9"/>
        <v>2</v>
      </c>
      <c r="P69">
        <f t="shared" si="10"/>
        <v>2</v>
      </c>
      <c r="Q69" s="11">
        <v>75.999999046325684</v>
      </c>
      <c r="R69">
        <v>61.000001430511475</v>
      </c>
      <c r="S69">
        <v>87.000000476837158</v>
      </c>
      <c r="T69">
        <f t="shared" si="11"/>
        <v>14.999997615814209</v>
      </c>
      <c r="U69">
        <f t="shared" si="12"/>
        <v>11.000001430511475</v>
      </c>
      <c r="V69">
        <f>IF('LL Revascularisation Summary'!$P$3=2, Q69, IF('LL Revascularisation Summary'!$P$3=1,L69))</f>
        <v>75.999999046325684</v>
      </c>
      <c r="W69" s="11">
        <f>IF('LL Revascularisation Summary'!$P$3=2, U69, IF('LL Revascularisation Summary'!$P$3=1,P69))</f>
        <v>11.000001430511475</v>
      </c>
      <c r="X69" s="11">
        <f>IF('LL Revascularisation Summary'!$P$3=2, T69, IF('LL Revascularisation Summary'!$P$3=1,O69))</f>
        <v>14.999997615814209</v>
      </c>
      <c r="Y69" s="59">
        <f t="shared" si="13"/>
        <v>0.88372093023255816</v>
      </c>
      <c r="Z69" s="59">
        <f t="shared" si="14"/>
        <v>9.3023255813953487E-2</v>
      </c>
      <c r="AA69" s="59">
        <f t="shared" si="15"/>
        <v>2.3255813953488372E-2</v>
      </c>
      <c r="AB69">
        <v>1</v>
      </c>
    </row>
    <row r="70" spans="1:28" x14ac:dyDescent="0.25">
      <c r="A70" t="s">
        <v>98</v>
      </c>
      <c r="B70" t="s">
        <v>99</v>
      </c>
      <c r="C70" s="124">
        <v>14</v>
      </c>
      <c r="D70" s="125" t="s">
        <v>720</v>
      </c>
      <c r="E70" s="126">
        <v>0.63999998569488525</v>
      </c>
      <c r="F70" s="7">
        <v>59</v>
      </c>
      <c r="G70" s="7">
        <v>5</v>
      </c>
      <c r="H70" s="7">
        <v>0</v>
      </c>
      <c r="I70" s="127">
        <v>64</v>
      </c>
      <c r="J70" t="str">
        <f t="shared" si="8"/>
        <v>RTR</v>
      </c>
      <c r="K70">
        <v>19</v>
      </c>
      <c r="L70" s="11">
        <v>4</v>
      </c>
      <c r="M70">
        <v>0</v>
      </c>
      <c r="N70">
        <v>7</v>
      </c>
      <c r="O70">
        <f t="shared" si="9"/>
        <v>4</v>
      </c>
      <c r="P70">
        <f t="shared" si="10"/>
        <v>3</v>
      </c>
      <c r="Q70" s="11">
        <v>63.999998569488525</v>
      </c>
      <c r="R70">
        <v>34.999999403953552</v>
      </c>
      <c r="S70">
        <v>87.000000476837158</v>
      </c>
      <c r="T70">
        <f t="shared" si="11"/>
        <v>28.999999165534973</v>
      </c>
      <c r="U70">
        <f t="shared" si="12"/>
        <v>23.000001907348633</v>
      </c>
      <c r="V70">
        <f>IF('LL Revascularisation Summary'!$P$3=2, Q70, IF('LL Revascularisation Summary'!$P$3=1,L70))</f>
        <v>63.999998569488525</v>
      </c>
      <c r="W70" s="11">
        <f>IF('LL Revascularisation Summary'!$P$3=2, U70, IF('LL Revascularisation Summary'!$P$3=1,P70))</f>
        <v>23.000001907348633</v>
      </c>
      <c r="X70" s="11">
        <f>IF('LL Revascularisation Summary'!$P$3=2, T70, IF('LL Revascularisation Summary'!$P$3=1,O70))</f>
        <v>28.999999165534973</v>
      </c>
      <c r="Y70" s="59">
        <f t="shared" si="13"/>
        <v>0.921875</v>
      </c>
      <c r="Z70" s="59">
        <f t="shared" si="14"/>
        <v>7.8125E-2</v>
      </c>
      <c r="AA70" s="59">
        <f t="shared" si="15"/>
        <v>0</v>
      </c>
      <c r="AB70">
        <v>1</v>
      </c>
    </row>
    <row r="71" spans="1:28" x14ac:dyDescent="0.25">
      <c r="A71" t="s">
        <v>498</v>
      </c>
      <c r="B71" t="s">
        <v>499</v>
      </c>
      <c r="C71" s="124">
        <v>25</v>
      </c>
      <c r="D71" s="125" t="s">
        <v>263</v>
      </c>
      <c r="E71" s="126">
        <v>0.2800000011920929</v>
      </c>
      <c r="F71" s="7">
        <v>25</v>
      </c>
      <c r="G71" s="7">
        <v>10</v>
      </c>
      <c r="H71" s="7">
        <v>77</v>
      </c>
      <c r="I71" s="127">
        <v>112</v>
      </c>
      <c r="J71" t="str">
        <f t="shared" si="8"/>
        <v>R0B</v>
      </c>
      <c r="K71">
        <v>64</v>
      </c>
      <c r="L71" s="11">
        <v>7</v>
      </c>
      <c r="M71">
        <v>5</v>
      </c>
      <c r="N71">
        <v>10</v>
      </c>
      <c r="O71">
        <f t="shared" si="9"/>
        <v>2</v>
      </c>
      <c r="P71">
        <f t="shared" si="10"/>
        <v>3</v>
      </c>
      <c r="Q71" s="11">
        <v>28.00000011920929</v>
      </c>
      <c r="R71">
        <v>11.999999731779099</v>
      </c>
      <c r="S71">
        <v>49.000000953674316</v>
      </c>
      <c r="T71">
        <f t="shared" si="11"/>
        <v>16.000000387430191</v>
      </c>
      <c r="U71">
        <f t="shared" si="12"/>
        <v>21.000000834465027</v>
      </c>
      <c r="V71">
        <f>IF('LL Revascularisation Summary'!$P$3=2, Q71, IF('LL Revascularisation Summary'!$P$3=1,L71))</f>
        <v>28.00000011920929</v>
      </c>
      <c r="W71" s="11">
        <f>IF('LL Revascularisation Summary'!$P$3=2, U71, IF('LL Revascularisation Summary'!$P$3=1,P71))</f>
        <v>21.000000834465027</v>
      </c>
      <c r="X71" s="11">
        <f>IF('LL Revascularisation Summary'!$P$3=2, T71, IF('LL Revascularisation Summary'!$P$3=1,O71))</f>
        <v>16.000000387430191</v>
      </c>
      <c r="Y71" s="59">
        <f t="shared" si="13"/>
        <v>0.22321428571428573</v>
      </c>
      <c r="Z71" s="59">
        <f t="shared" si="14"/>
        <v>8.9285714285714288E-2</v>
      </c>
      <c r="AA71" s="59">
        <f t="shared" si="15"/>
        <v>0.6875</v>
      </c>
      <c r="AB71">
        <v>1</v>
      </c>
    </row>
    <row r="72" spans="1:28" x14ac:dyDescent="0.25">
      <c r="A72" t="s">
        <v>363</v>
      </c>
      <c r="B72" t="s">
        <v>364</v>
      </c>
      <c r="C72" s="124">
        <v>0</v>
      </c>
      <c r="D72" s="125" t="s">
        <v>276</v>
      </c>
      <c r="E72" s="129" t="s">
        <v>276</v>
      </c>
      <c r="F72" s="7" t="s">
        <v>284</v>
      </c>
      <c r="G72" s="7" t="s">
        <v>284</v>
      </c>
      <c r="H72" s="7" t="s">
        <v>284</v>
      </c>
      <c r="I72" s="127" t="s">
        <v>284</v>
      </c>
      <c r="J72" t="str">
        <f t="shared" si="8"/>
        <v>RVY</v>
      </c>
      <c r="K72">
        <v>88</v>
      </c>
      <c r="L72" t="s">
        <v>859</v>
      </c>
      <c r="M72" t="e">
        <v>#VALUE!</v>
      </c>
      <c r="N72" t="e">
        <v>#VALUE!</v>
      </c>
      <c r="O72" t="e">
        <f t="shared" si="9"/>
        <v>#VALUE!</v>
      </c>
      <c r="P72" t="e">
        <f t="shared" si="10"/>
        <v>#VALUE!</v>
      </c>
      <c r="Q72" s="11" t="e">
        <v>#VALUE!</v>
      </c>
      <c r="R72" t="e">
        <v>#VALUE!</v>
      </c>
      <c r="S72" t="e">
        <v>#VALUE!</v>
      </c>
      <c r="T72" t="e">
        <f t="shared" si="11"/>
        <v>#VALUE!</v>
      </c>
      <c r="U72" t="e">
        <f t="shared" si="12"/>
        <v>#VALUE!</v>
      </c>
      <c r="V72" t="e">
        <f>IF('LL Revascularisation Summary'!$P$3=2, Q72, IF('LL Revascularisation Summary'!$P$3=1,L72))</f>
        <v>#VALUE!</v>
      </c>
      <c r="W72" s="11" t="e">
        <f>IF('LL Revascularisation Summary'!$P$3=2, U72, IF('LL Revascularisation Summary'!$P$3=1,P72))</f>
        <v>#VALUE!</v>
      </c>
      <c r="X72" s="11" t="e">
        <f>IF('LL Revascularisation Summary'!$P$3=2, T72, IF('LL Revascularisation Summary'!$P$3=1,O72))</f>
        <v>#VALUE!</v>
      </c>
      <c r="Y72" s="59" t="e">
        <f t="shared" si="13"/>
        <v>#VALUE!</v>
      </c>
      <c r="Z72" s="59" t="e">
        <f t="shared" si="14"/>
        <v>#VALUE!</v>
      </c>
      <c r="AA72" s="59" t="e">
        <f t="shared" si="15"/>
        <v>#VALUE!</v>
      </c>
      <c r="AB72">
        <v>0</v>
      </c>
    </row>
    <row r="73" spans="1:28" x14ac:dyDescent="0.25">
      <c r="A73" t="s">
        <v>52</v>
      </c>
      <c r="B73" t="s">
        <v>53</v>
      </c>
      <c r="C73" s="124">
        <v>70</v>
      </c>
      <c r="D73" s="125" t="s">
        <v>177</v>
      </c>
      <c r="E73" s="126">
        <v>0.69999998807907104</v>
      </c>
      <c r="F73" s="7">
        <v>23</v>
      </c>
      <c r="G73" s="7">
        <v>48</v>
      </c>
      <c r="H73" s="7">
        <v>154</v>
      </c>
      <c r="I73" s="127">
        <v>225</v>
      </c>
      <c r="J73" t="str">
        <f t="shared" si="8"/>
        <v>RJ7</v>
      </c>
      <c r="K73">
        <v>10</v>
      </c>
      <c r="L73" s="11">
        <v>4</v>
      </c>
      <c r="M73">
        <v>2</v>
      </c>
      <c r="N73">
        <v>6</v>
      </c>
      <c r="O73">
        <f t="shared" si="9"/>
        <v>2</v>
      </c>
      <c r="P73">
        <f t="shared" si="10"/>
        <v>2</v>
      </c>
      <c r="Q73" s="11">
        <v>69.999998807907104</v>
      </c>
      <c r="R73">
        <v>57.999998331069946</v>
      </c>
      <c r="S73">
        <v>80.000001192092896</v>
      </c>
      <c r="T73">
        <f t="shared" si="11"/>
        <v>12.000000476837158</v>
      </c>
      <c r="U73">
        <f t="shared" si="12"/>
        <v>10.000002384185791</v>
      </c>
      <c r="V73">
        <f>IF('LL Revascularisation Summary'!$P$3=2, Q73, IF('LL Revascularisation Summary'!$P$3=1,L73))</f>
        <v>69.999998807907104</v>
      </c>
      <c r="W73" s="11">
        <f>IF('LL Revascularisation Summary'!$P$3=2, U73, IF('LL Revascularisation Summary'!$P$3=1,P73))</f>
        <v>10.000002384185791</v>
      </c>
      <c r="X73" s="11">
        <f>IF('LL Revascularisation Summary'!$P$3=2, T73, IF('LL Revascularisation Summary'!$P$3=1,O73))</f>
        <v>12.000000476837158</v>
      </c>
      <c r="Y73" s="59">
        <f t="shared" si="13"/>
        <v>0.10222222222222223</v>
      </c>
      <c r="Z73" s="59">
        <f t="shared" si="14"/>
        <v>0.21333333333333335</v>
      </c>
      <c r="AA73" s="59">
        <f t="shared" si="15"/>
        <v>0.68444444444444441</v>
      </c>
      <c r="AB73">
        <v>1</v>
      </c>
    </row>
    <row r="74" spans="1:28" x14ac:dyDescent="0.25">
      <c r="A74" t="s">
        <v>21</v>
      </c>
      <c r="B74" t="s">
        <v>22</v>
      </c>
      <c r="C74" s="124">
        <v>0</v>
      </c>
      <c r="D74" s="125" t="s">
        <v>276</v>
      </c>
      <c r="E74" s="129" t="s">
        <v>276</v>
      </c>
      <c r="F74" s="7" t="s">
        <v>284</v>
      </c>
      <c r="G74" s="7" t="s">
        <v>284</v>
      </c>
      <c r="H74" s="7" t="s">
        <v>284</v>
      </c>
      <c r="I74" s="127" t="s">
        <v>284</v>
      </c>
      <c r="J74" t="str">
        <f t="shared" si="8"/>
        <v>RBN</v>
      </c>
      <c r="K74">
        <v>89</v>
      </c>
      <c r="L74" t="s">
        <v>859</v>
      </c>
      <c r="M74" t="e">
        <v>#VALUE!</v>
      </c>
      <c r="N74" t="e">
        <v>#VALUE!</v>
      </c>
      <c r="O74" t="e">
        <f t="shared" si="9"/>
        <v>#VALUE!</v>
      </c>
      <c r="P74" t="e">
        <f t="shared" si="10"/>
        <v>#VALUE!</v>
      </c>
      <c r="Q74" s="11" t="e">
        <v>#VALUE!</v>
      </c>
      <c r="R74" s="11" t="e">
        <v>#VALUE!</v>
      </c>
      <c r="S74" s="11" t="e">
        <v>#VALUE!</v>
      </c>
      <c r="T74" t="e">
        <f t="shared" si="11"/>
        <v>#VALUE!</v>
      </c>
      <c r="U74" t="e">
        <f t="shared" si="12"/>
        <v>#VALUE!</v>
      </c>
      <c r="V74" t="e">
        <f>IF('LL Revascularisation Summary'!$P$3=2, Q74, IF('LL Revascularisation Summary'!$P$3=1,L74))</f>
        <v>#VALUE!</v>
      </c>
      <c r="W74" s="11" t="e">
        <f>IF('LL Revascularisation Summary'!$P$3=2, U74, IF('LL Revascularisation Summary'!$P$3=1,P74))</f>
        <v>#VALUE!</v>
      </c>
      <c r="X74" s="11" t="e">
        <f>IF('LL Revascularisation Summary'!$P$3=2, T74, IF('LL Revascularisation Summary'!$P$3=1,O74))</f>
        <v>#VALUE!</v>
      </c>
      <c r="Y74" s="59" t="e">
        <f t="shared" si="13"/>
        <v>#VALUE!</v>
      </c>
      <c r="Z74" s="59" t="e">
        <f t="shared" si="14"/>
        <v>#VALUE!</v>
      </c>
      <c r="AA74" s="59" t="e">
        <f t="shared" si="15"/>
        <v>#VALUE!</v>
      </c>
      <c r="AB74">
        <v>0</v>
      </c>
    </row>
    <row r="75" spans="1:28" x14ac:dyDescent="0.25">
      <c r="A75" t="s">
        <v>365</v>
      </c>
      <c r="B75" t="s">
        <v>366</v>
      </c>
      <c r="C75" s="124">
        <v>0</v>
      </c>
      <c r="D75" s="125" t="s">
        <v>276</v>
      </c>
      <c r="E75" s="129" t="s">
        <v>276</v>
      </c>
      <c r="F75" s="7" t="s">
        <v>284</v>
      </c>
      <c r="G75" s="7" t="s">
        <v>284</v>
      </c>
      <c r="H75" s="7" t="s">
        <v>284</v>
      </c>
      <c r="I75" s="127" t="s">
        <v>284</v>
      </c>
      <c r="J75" t="str">
        <f t="shared" si="8"/>
        <v>RTP</v>
      </c>
      <c r="K75">
        <v>90</v>
      </c>
      <c r="L75" t="s">
        <v>859</v>
      </c>
      <c r="M75" t="e">
        <v>#VALUE!</v>
      </c>
      <c r="N75" t="e">
        <v>#VALUE!</v>
      </c>
      <c r="O75" t="e">
        <f t="shared" si="9"/>
        <v>#VALUE!</v>
      </c>
      <c r="P75" t="e">
        <f t="shared" si="10"/>
        <v>#VALUE!</v>
      </c>
      <c r="Q75" s="11" t="e">
        <v>#VALUE!</v>
      </c>
      <c r="R75" s="11" t="e">
        <v>#VALUE!</v>
      </c>
      <c r="S75" s="11" t="e">
        <v>#VALUE!</v>
      </c>
      <c r="T75" t="e">
        <f t="shared" si="11"/>
        <v>#VALUE!</v>
      </c>
      <c r="U75" t="e">
        <f t="shared" si="12"/>
        <v>#VALUE!</v>
      </c>
      <c r="V75" t="e">
        <f>IF('LL Revascularisation Summary'!$P$3=2, Q75, IF('LL Revascularisation Summary'!$P$3=1,L75))</f>
        <v>#VALUE!</v>
      </c>
      <c r="W75" s="11" t="e">
        <f>IF('LL Revascularisation Summary'!$P$3=2, U75, IF('LL Revascularisation Summary'!$P$3=1,P75))</f>
        <v>#VALUE!</v>
      </c>
      <c r="X75" s="11" t="e">
        <f>IF('LL Revascularisation Summary'!$P$3=2, T75, IF('LL Revascularisation Summary'!$P$3=1,O75))</f>
        <v>#VALUE!</v>
      </c>
      <c r="Y75" s="59" t="e">
        <f t="shared" si="13"/>
        <v>#VALUE!</v>
      </c>
      <c r="Z75" s="59" t="e">
        <f t="shared" si="14"/>
        <v>#VALUE!</v>
      </c>
      <c r="AA75" s="59" t="e">
        <f t="shared" si="15"/>
        <v>#VALUE!</v>
      </c>
      <c r="AB75">
        <v>0</v>
      </c>
    </row>
    <row r="76" spans="1:28" x14ac:dyDescent="0.25">
      <c r="A76" t="s">
        <v>2</v>
      </c>
      <c r="B76" t="s">
        <v>168</v>
      </c>
      <c r="C76" s="124">
        <v>149</v>
      </c>
      <c r="D76" s="125" t="s">
        <v>378</v>
      </c>
      <c r="E76" s="126">
        <v>0.36000001430511475</v>
      </c>
      <c r="F76" s="7">
        <v>111</v>
      </c>
      <c r="G76" s="7">
        <v>9</v>
      </c>
      <c r="H76" s="7">
        <v>119</v>
      </c>
      <c r="I76" s="127">
        <v>239</v>
      </c>
      <c r="J76" t="str">
        <f t="shared" si="8"/>
        <v>7A3</v>
      </c>
      <c r="K76">
        <v>58</v>
      </c>
      <c r="L76" s="11">
        <v>7</v>
      </c>
      <c r="M76">
        <v>4</v>
      </c>
      <c r="N76">
        <v>10</v>
      </c>
      <c r="O76">
        <f t="shared" si="9"/>
        <v>3</v>
      </c>
      <c r="P76">
        <f t="shared" si="10"/>
        <v>3</v>
      </c>
      <c r="Q76" s="11">
        <v>36.000001430511475</v>
      </c>
      <c r="R76">
        <v>28.999999165534973</v>
      </c>
      <c r="S76">
        <v>44.999998807907104</v>
      </c>
      <c r="T76">
        <f t="shared" si="11"/>
        <v>7.0000022649765015</v>
      </c>
      <c r="U76">
        <f t="shared" si="12"/>
        <v>8.9999973773956299</v>
      </c>
      <c r="V76">
        <f>IF('LL Revascularisation Summary'!$P$3=2, Q76, IF('LL Revascularisation Summary'!$P$3=1,L76))</f>
        <v>36.000001430511475</v>
      </c>
      <c r="W76" s="11">
        <f>IF('LL Revascularisation Summary'!$P$3=2, U76, IF('LL Revascularisation Summary'!$P$3=1,P76))</f>
        <v>8.9999973773956299</v>
      </c>
      <c r="X76" s="11">
        <f>IF('LL Revascularisation Summary'!$P$3=2, T76, IF('LL Revascularisation Summary'!$P$3=1,O76))</f>
        <v>7.0000022649765015</v>
      </c>
      <c r="Y76" s="59">
        <f t="shared" si="13"/>
        <v>0.46443514644351463</v>
      </c>
      <c r="Z76" s="59">
        <f t="shared" si="14"/>
        <v>3.7656903765690378E-2</v>
      </c>
      <c r="AA76" s="59">
        <f t="shared" si="15"/>
        <v>0.497907949790795</v>
      </c>
      <c r="AB76">
        <v>1</v>
      </c>
    </row>
    <row r="77" spans="1:28" x14ac:dyDescent="0.25">
      <c r="A77" t="s">
        <v>69</v>
      </c>
      <c r="B77" t="s">
        <v>70</v>
      </c>
      <c r="C77" s="124">
        <v>83</v>
      </c>
      <c r="D77" s="125" t="s">
        <v>192</v>
      </c>
      <c r="E77" s="126">
        <v>0.64999997615814209</v>
      </c>
      <c r="F77" s="7">
        <v>80</v>
      </c>
      <c r="G77" s="7">
        <v>17</v>
      </c>
      <c r="H77" s="7">
        <v>78</v>
      </c>
      <c r="I77" s="127">
        <v>175</v>
      </c>
      <c r="J77" t="str">
        <f t="shared" si="8"/>
        <v>RNA</v>
      </c>
      <c r="K77">
        <v>15</v>
      </c>
      <c r="L77" s="11">
        <v>4</v>
      </c>
      <c r="M77">
        <v>2</v>
      </c>
      <c r="N77">
        <v>7</v>
      </c>
      <c r="O77">
        <f t="shared" si="9"/>
        <v>2</v>
      </c>
      <c r="P77">
        <f t="shared" si="10"/>
        <v>3</v>
      </c>
      <c r="Q77" s="11">
        <v>64.999997615814209</v>
      </c>
      <c r="R77">
        <v>54.000002145767212</v>
      </c>
      <c r="S77">
        <v>75</v>
      </c>
      <c r="T77">
        <f t="shared" si="11"/>
        <v>10.999995470046997</v>
      </c>
      <c r="U77">
        <f t="shared" si="12"/>
        <v>10.000002384185791</v>
      </c>
      <c r="V77">
        <f>IF('LL Revascularisation Summary'!$P$3=2, Q77, IF('LL Revascularisation Summary'!$P$3=1,L77))</f>
        <v>64.999997615814209</v>
      </c>
      <c r="W77" s="11">
        <f>IF('LL Revascularisation Summary'!$P$3=2, U77, IF('LL Revascularisation Summary'!$P$3=1,P77))</f>
        <v>10.000002384185791</v>
      </c>
      <c r="X77" s="11">
        <f>IF('LL Revascularisation Summary'!$P$3=2, T77, IF('LL Revascularisation Summary'!$P$3=1,O77))</f>
        <v>10.999995470046997</v>
      </c>
      <c r="Y77" s="59">
        <f t="shared" si="13"/>
        <v>0.45714285714285713</v>
      </c>
      <c r="Z77" s="59">
        <f t="shared" si="14"/>
        <v>9.7142857142857142E-2</v>
      </c>
      <c r="AA77" s="59">
        <f t="shared" si="15"/>
        <v>0.44571428571428573</v>
      </c>
      <c r="AB77">
        <v>1</v>
      </c>
    </row>
    <row r="78" spans="1:28" x14ac:dyDescent="0.25">
      <c r="A78" t="s">
        <v>13</v>
      </c>
      <c r="B78" t="s">
        <v>14</v>
      </c>
      <c r="C78" s="124">
        <v>0</v>
      </c>
      <c r="D78" s="125" t="s">
        <v>276</v>
      </c>
      <c r="E78" s="129" t="s">
        <v>276</v>
      </c>
      <c r="F78" s="7" t="s">
        <v>284</v>
      </c>
      <c r="G78" s="7" t="s">
        <v>284</v>
      </c>
      <c r="H78" s="7" t="s">
        <v>284</v>
      </c>
      <c r="I78" s="127" t="s">
        <v>284</v>
      </c>
      <c r="J78" t="str">
        <f t="shared" si="8"/>
        <v>RA9</v>
      </c>
      <c r="K78">
        <v>91</v>
      </c>
      <c r="L78" t="s">
        <v>859</v>
      </c>
      <c r="M78" t="e">
        <v>#VALUE!</v>
      </c>
      <c r="N78" t="e">
        <v>#VALUE!</v>
      </c>
      <c r="O78" t="e">
        <f t="shared" si="9"/>
        <v>#VALUE!</v>
      </c>
      <c r="P78" t="e">
        <f t="shared" si="10"/>
        <v>#VALUE!</v>
      </c>
      <c r="Q78" s="11" t="e">
        <v>#VALUE!</v>
      </c>
      <c r="R78" t="e">
        <v>#VALUE!</v>
      </c>
      <c r="S78" t="e">
        <v>#VALUE!</v>
      </c>
      <c r="T78" t="e">
        <f t="shared" si="11"/>
        <v>#VALUE!</v>
      </c>
      <c r="U78" t="e">
        <f t="shared" si="12"/>
        <v>#VALUE!</v>
      </c>
      <c r="V78" t="e">
        <f>IF('LL Revascularisation Summary'!$P$3=2, Q78, IF('LL Revascularisation Summary'!$P$3=1,L78))</f>
        <v>#VALUE!</v>
      </c>
      <c r="W78" s="11" t="e">
        <f>IF('LL Revascularisation Summary'!$P$3=2, U78, IF('LL Revascularisation Summary'!$P$3=1,P78))</f>
        <v>#VALUE!</v>
      </c>
      <c r="X78" s="11" t="e">
        <f>IF('LL Revascularisation Summary'!$P$3=2, T78, IF('LL Revascularisation Summary'!$P$3=1,O78))</f>
        <v>#VALUE!</v>
      </c>
      <c r="Y78" s="59" t="e">
        <f t="shared" si="13"/>
        <v>#VALUE!</v>
      </c>
      <c r="Z78" s="59" t="e">
        <f t="shared" si="14"/>
        <v>#VALUE!</v>
      </c>
      <c r="AA78" s="59" t="e">
        <f t="shared" si="15"/>
        <v>#VALUE!</v>
      </c>
      <c r="AB78">
        <v>0</v>
      </c>
    </row>
    <row r="79" spans="1:28" x14ac:dyDescent="0.25">
      <c r="A79" t="s">
        <v>107</v>
      </c>
      <c r="B79" t="s">
        <v>108</v>
      </c>
      <c r="C79" s="124">
        <v>50</v>
      </c>
      <c r="D79" s="125" t="s">
        <v>378</v>
      </c>
      <c r="E79" s="126">
        <v>0.36000001430511475</v>
      </c>
      <c r="F79" s="7">
        <v>39</v>
      </c>
      <c r="G79" s="7">
        <v>1</v>
      </c>
      <c r="H79" s="7">
        <v>140</v>
      </c>
      <c r="I79" s="127">
        <v>180</v>
      </c>
      <c r="J79" t="str">
        <f t="shared" si="8"/>
        <v>RWD</v>
      </c>
      <c r="K79">
        <v>59</v>
      </c>
      <c r="L79" s="11">
        <v>7</v>
      </c>
      <c r="M79">
        <v>4</v>
      </c>
      <c r="N79">
        <v>10</v>
      </c>
      <c r="O79">
        <f t="shared" si="9"/>
        <v>3</v>
      </c>
      <c r="P79">
        <f t="shared" si="10"/>
        <v>3</v>
      </c>
      <c r="Q79" s="11">
        <v>36.000001430511475</v>
      </c>
      <c r="R79">
        <v>23.000000417232513</v>
      </c>
      <c r="S79">
        <v>50.999999046325684</v>
      </c>
      <c r="T79">
        <f t="shared" si="11"/>
        <v>13.000001013278961</v>
      </c>
      <c r="U79">
        <f t="shared" si="12"/>
        <v>14.999997615814209</v>
      </c>
      <c r="V79">
        <f>IF('LL Revascularisation Summary'!$P$3=2, Q79, IF('LL Revascularisation Summary'!$P$3=1,L79))</f>
        <v>36.000001430511475</v>
      </c>
      <c r="W79" s="11">
        <f>IF('LL Revascularisation Summary'!$P$3=2, U79, IF('LL Revascularisation Summary'!$P$3=1,P79))</f>
        <v>14.999997615814209</v>
      </c>
      <c r="X79" s="11">
        <f>IF('LL Revascularisation Summary'!$P$3=2, T79, IF('LL Revascularisation Summary'!$P$3=1,O79))</f>
        <v>13.000001013278961</v>
      </c>
      <c r="Y79" s="59">
        <f t="shared" si="13"/>
        <v>0.21666666666666667</v>
      </c>
      <c r="Z79" s="59">
        <f t="shared" si="14"/>
        <v>5.5555555555555558E-3</v>
      </c>
      <c r="AA79" s="59">
        <f t="shared" si="15"/>
        <v>0.77777777777777779</v>
      </c>
      <c r="AB79">
        <v>1</v>
      </c>
    </row>
    <row r="80" spans="1:28" x14ac:dyDescent="0.25">
      <c r="A80" t="s">
        <v>87</v>
      </c>
      <c r="B80" t="s">
        <v>88</v>
      </c>
      <c r="C80" s="124">
        <v>0</v>
      </c>
      <c r="D80" s="125" t="s">
        <v>276</v>
      </c>
      <c r="E80" s="129" t="s">
        <v>276</v>
      </c>
      <c r="F80" s="7" t="s">
        <v>284</v>
      </c>
      <c r="G80" s="7" t="s">
        <v>284</v>
      </c>
      <c r="H80" s="7" t="s">
        <v>284</v>
      </c>
      <c r="I80" s="127" t="s">
        <v>284</v>
      </c>
      <c r="J80" t="str">
        <f t="shared" si="8"/>
        <v>RRV</v>
      </c>
      <c r="K80">
        <v>92</v>
      </c>
      <c r="L80" t="s">
        <v>859</v>
      </c>
      <c r="M80" t="e">
        <v>#VALUE!</v>
      </c>
      <c r="N80" t="e">
        <v>#VALUE!</v>
      </c>
      <c r="O80" t="e">
        <f t="shared" si="9"/>
        <v>#VALUE!</v>
      </c>
      <c r="P80" t="e">
        <f t="shared" si="10"/>
        <v>#VALUE!</v>
      </c>
      <c r="Q80" s="11" t="e">
        <v>#VALUE!</v>
      </c>
      <c r="R80" t="e">
        <v>#VALUE!</v>
      </c>
      <c r="S80" t="e">
        <v>#VALUE!</v>
      </c>
      <c r="T80" t="e">
        <f t="shared" si="11"/>
        <v>#VALUE!</v>
      </c>
      <c r="U80" t="e">
        <f t="shared" si="12"/>
        <v>#VALUE!</v>
      </c>
      <c r="V80" t="e">
        <f>IF('LL Revascularisation Summary'!$P$3=2, Q80, IF('LL Revascularisation Summary'!$P$3=1,L80))</f>
        <v>#VALUE!</v>
      </c>
      <c r="W80" s="11" t="e">
        <f>IF('LL Revascularisation Summary'!$P$3=2, U80, IF('LL Revascularisation Summary'!$P$3=1,P80))</f>
        <v>#VALUE!</v>
      </c>
      <c r="X80" s="11" t="e">
        <f>IF('LL Revascularisation Summary'!$P$3=2, T80, IF('LL Revascularisation Summary'!$P$3=1,O80))</f>
        <v>#VALUE!</v>
      </c>
      <c r="Y80" s="59" t="e">
        <f t="shared" si="13"/>
        <v>#VALUE!</v>
      </c>
      <c r="Z80" s="59" t="e">
        <f t="shared" si="14"/>
        <v>#VALUE!</v>
      </c>
      <c r="AA80" s="59" t="e">
        <f t="shared" si="15"/>
        <v>#VALUE!</v>
      </c>
      <c r="AB80">
        <v>0</v>
      </c>
    </row>
    <row r="81" spans="1:28" x14ac:dyDescent="0.25">
      <c r="A81" t="s">
        <v>54</v>
      </c>
      <c r="B81" t="s">
        <v>55</v>
      </c>
      <c r="C81" s="124">
        <v>96</v>
      </c>
      <c r="D81" s="125" t="s">
        <v>184</v>
      </c>
      <c r="E81" s="126">
        <v>0.4699999988079071</v>
      </c>
      <c r="F81" s="7">
        <v>108</v>
      </c>
      <c r="G81" s="7">
        <v>25</v>
      </c>
      <c r="H81" s="7">
        <v>192</v>
      </c>
      <c r="I81" s="127">
        <v>325</v>
      </c>
      <c r="J81" t="str">
        <f t="shared" si="8"/>
        <v>RJE</v>
      </c>
      <c r="K81">
        <v>45</v>
      </c>
      <c r="L81" s="11">
        <v>6</v>
      </c>
      <c r="M81">
        <v>4</v>
      </c>
      <c r="N81">
        <v>10</v>
      </c>
      <c r="O81">
        <f t="shared" si="9"/>
        <v>2</v>
      </c>
      <c r="P81">
        <f t="shared" si="10"/>
        <v>4</v>
      </c>
      <c r="Q81" s="11">
        <v>46.99999988079071</v>
      </c>
      <c r="R81">
        <v>37.000000476837158</v>
      </c>
      <c r="S81">
        <v>56.999999284744263</v>
      </c>
      <c r="T81">
        <f t="shared" si="11"/>
        <v>9.9999994039535522</v>
      </c>
      <c r="U81">
        <f t="shared" si="12"/>
        <v>9.9999994039535522</v>
      </c>
      <c r="V81">
        <f>IF('LL Revascularisation Summary'!$P$3=2, Q81, IF('LL Revascularisation Summary'!$P$3=1,L81))</f>
        <v>46.99999988079071</v>
      </c>
      <c r="W81" s="11">
        <f>IF('LL Revascularisation Summary'!$P$3=2, U81, IF('LL Revascularisation Summary'!$P$3=1,P81))</f>
        <v>9.9999994039535522</v>
      </c>
      <c r="X81" s="11">
        <f>IF('LL Revascularisation Summary'!$P$3=2, T81, IF('LL Revascularisation Summary'!$P$3=1,O81))</f>
        <v>9.9999994039535522</v>
      </c>
      <c r="Y81" s="59">
        <f t="shared" si="13"/>
        <v>0.3323076923076923</v>
      </c>
      <c r="Z81" s="59">
        <f t="shared" si="14"/>
        <v>7.6923076923076927E-2</v>
      </c>
      <c r="AA81" s="59">
        <f t="shared" si="15"/>
        <v>0.59076923076923082</v>
      </c>
      <c r="AB81">
        <v>1</v>
      </c>
    </row>
    <row r="82" spans="1:28" x14ac:dyDescent="0.25">
      <c r="A82" t="s">
        <v>44</v>
      </c>
      <c r="B82" t="s">
        <v>45</v>
      </c>
      <c r="C82" s="124">
        <v>32</v>
      </c>
      <c r="D82" s="125" t="s">
        <v>184</v>
      </c>
      <c r="E82" s="126">
        <v>0.31000000238418579</v>
      </c>
      <c r="F82" s="7">
        <v>111</v>
      </c>
      <c r="G82" s="7">
        <v>63</v>
      </c>
      <c r="H82" s="7">
        <v>14</v>
      </c>
      <c r="I82" s="127">
        <v>188</v>
      </c>
      <c r="J82" t="str">
        <f t="shared" si="8"/>
        <v>RHM</v>
      </c>
      <c r="K82">
        <v>63</v>
      </c>
      <c r="L82" s="11">
        <v>6</v>
      </c>
      <c r="M82">
        <v>4</v>
      </c>
      <c r="N82">
        <v>10</v>
      </c>
      <c r="O82">
        <f t="shared" si="9"/>
        <v>2</v>
      </c>
      <c r="P82">
        <f t="shared" si="10"/>
        <v>4</v>
      </c>
      <c r="Q82" s="11">
        <v>31.000000238418579</v>
      </c>
      <c r="R82">
        <v>15.999999642372131</v>
      </c>
      <c r="S82">
        <v>50</v>
      </c>
      <c r="T82">
        <f t="shared" si="11"/>
        <v>15.000000596046448</v>
      </c>
      <c r="U82">
        <f t="shared" si="12"/>
        <v>18.999999761581421</v>
      </c>
      <c r="V82">
        <f>IF('LL Revascularisation Summary'!$P$3=2, Q82, IF('LL Revascularisation Summary'!$P$3=1,L82))</f>
        <v>31.000000238418579</v>
      </c>
      <c r="W82" s="11">
        <f>IF('LL Revascularisation Summary'!$P$3=2, U82, IF('LL Revascularisation Summary'!$P$3=1,P82))</f>
        <v>18.999999761581421</v>
      </c>
      <c r="X82" s="11">
        <f>IF('LL Revascularisation Summary'!$P$3=2, T82, IF('LL Revascularisation Summary'!$P$3=1,O82))</f>
        <v>15.000000596046448</v>
      </c>
      <c r="Y82" s="59">
        <f t="shared" si="13"/>
        <v>0.59042553191489366</v>
      </c>
      <c r="Z82" s="59">
        <f t="shared" si="14"/>
        <v>0.33510638297872342</v>
      </c>
      <c r="AA82" s="59">
        <f t="shared" si="15"/>
        <v>7.4468085106382975E-2</v>
      </c>
      <c r="AB82">
        <v>1</v>
      </c>
    </row>
    <row r="83" spans="1:28" x14ac:dyDescent="0.25">
      <c r="A83" t="s">
        <v>525</v>
      </c>
      <c r="B83" t="s">
        <v>526</v>
      </c>
      <c r="C83" s="124">
        <v>44</v>
      </c>
      <c r="D83" s="125" t="s">
        <v>175</v>
      </c>
      <c r="E83" s="126">
        <v>0.51999998092651367</v>
      </c>
      <c r="F83" s="7">
        <v>84</v>
      </c>
      <c r="G83" s="7">
        <v>0</v>
      </c>
      <c r="H83" s="7">
        <v>0</v>
      </c>
      <c r="I83" s="127">
        <v>84</v>
      </c>
      <c r="J83" t="str">
        <f t="shared" si="8"/>
        <v>RYR</v>
      </c>
      <c r="K83">
        <v>38</v>
      </c>
      <c r="L83" s="11">
        <v>5</v>
      </c>
      <c r="M83">
        <v>3</v>
      </c>
      <c r="N83">
        <v>8</v>
      </c>
      <c r="O83">
        <f t="shared" si="9"/>
        <v>2</v>
      </c>
      <c r="P83">
        <f t="shared" si="10"/>
        <v>3</v>
      </c>
      <c r="Q83" s="11">
        <v>51.999998092651367</v>
      </c>
      <c r="R83">
        <v>37.000000476837158</v>
      </c>
      <c r="S83">
        <v>68.000000715255737</v>
      </c>
      <c r="T83">
        <f t="shared" si="11"/>
        <v>14.999997615814209</v>
      </c>
      <c r="U83">
        <f t="shared" si="12"/>
        <v>16.00000262260437</v>
      </c>
      <c r="V83">
        <f>IF('LL Revascularisation Summary'!$P$3=2, Q83, IF('LL Revascularisation Summary'!$P$3=1,L83))</f>
        <v>51.999998092651367</v>
      </c>
      <c r="W83" s="11">
        <f>IF('LL Revascularisation Summary'!$P$3=2, U83, IF('LL Revascularisation Summary'!$P$3=1,P83))</f>
        <v>16.00000262260437</v>
      </c>
      <c r="X83" s="11">
        <f>IF('LL Revascularisation Summary'!$P$3=2, T83, IF('LL Revascularisation Summary'!$P$3=1,O83))</f>
        <v>14.999997615814209</v>
      </c>
      <c r="Y83" s="59">
        <f t="shared" si="13"/>
        <v>1</v>
      </c>
      <c r="Z83" s="59">
        <f t="shared" si="14"/>
        <v>0</v>
      </c>
      <c r="AA83" s="59">
        <f t="shared" si="15"/>
        <v>0</v>
      </c>
      <c r="AB83">
        <v>1</v>
      </c>
    </row>
    <row r="84" spans="1:28" x14ac:dyDescent="0.25">
      <c r="A84" t="s">
        <v>85</v>
      </c>
      <c r="B84" t="s">
        <v>86</v>
      </c>
      <c r="C84" s="124">
        <v>271</v>
      </c>
      <c r="D84" s="125" t="s">
        <v>192</v>
      </c>
      <c r="E84" s="126">
        <v>0.6600000262260437</v>
      </c>
      <c r="F84" s="7">
        <v>99</v>
      </c>
      <c r="G84" s="7">
        <v>53</v>
      </c>
      <c r="H84" s="7">
        <v>316</v>
      </c>
      <c r="I84" s="127">
        <v>468</v>
      </c>
      <c r="J84" t="str">
        <f t="shared" si="8"/>
        <v>RRK</v>
      </c>
      <c r="K84">
        <v>14</v>
      </c>
      <c r="L84" s="11">
        <v>4</v>
      </c>
      <c r="M84">
        <v>2</v>
      </c>
      <c r="N84">
        <v>7</v>
      </c>
      <c r="O84">
        <f t="shared" si="9"/>
        <v>2</v>
      </c>
      <c r="P84">
        <f t="shared" si="10"/>
        <v>3</v>
      </c>
      <c r="Q84" s="11">
        <v>66.00000262260437</v>
      </c>
      <c r="R84">
        <v>60.000002384185791</v>
      </c>
      <c r="S84">
        <v>72.000002861022949</v>
      </c>
      <c r="T84">
        <f t="shared" si="11"/>
        <v>6.0000002384185791</v>
      </c>
      <c r="U84">
        <f t="shared" si="12"/>
        <v>6.0000002384185791</v>
      </c>
      <c r="V84">
        <f>IF('LL Revascularisation Summary'!$P$3=2, Q84, IF('LL Revascularisation Summary'!$P$3=1,L84))</f>
        <v>66.00000262260437</v>
      </c>
      <c r="W84" s="11">
        <f>IF('LL Revascularisation Summary'!$P$3=2, U84, IF('LL Revascularisation Summary'!$P$3=1,P84))</f>
        <v>6.0000002384185791</v>
      </c>
      <c r="X84" s="11">
        <f>IF('LL Revascularisation Summary'!$P$3=2, T84, IF('LL Revascularisation Summary'!$P$3=1,O84))</f>
        <v>6.0000002384185791</v>
      </c>
      <c r="Y84" s="59">
        <f t="shared" si="13"/>
        <v>0.21153846153846154</v>
      </c>
      <c r="Z84" s="59">
        <f t="shared" si="14"/>
        <v>0.11324786324786325</v>
      </c>
      <c r="AA84" s="59">
        <f t="shared" si="15"/>
        <v>0.67521367521367526</v>
      </c>
      <c r="AB84">
        <v>1</v>
      </c>
    </row>
    <row r="85" spans="1:28" x14ac:dyDescent="0.25">
      <c r="A85" t="s">
        <v>61</v>
      </c>
      <c r="B85" t="s">
        <v>62</v>
      </c>
      <c r="C85" s="124">
        <v>57</v>
      </c>
      <c r="D85" s="125" t="s">
        <v>238</v>
      </c>
      <c r="E85" s="126">
        <v>0.49000000953674316</v>
      </c>
      <c r="F85" s="7">
        <v>78</v>
      </c>
      <c r="G85" s="7">
        <v>7</v>
      </c>
      <c r="H85" s="7">
        <v>67</v>
      </c>
      <c r="I85" s="127">
        <v>152</v>
      </c>
      <c r="J85" t="str">
        <f t="shared" si="8"/>
        <v>RKB</v>
      </c>
      <c r="K85">
        <v>42</v>
      </c>
      <c r="L85" s="11">
        <v>6</v>
      </c>
      <c r="M85">
        <v>3</v>
      </c>
      <c r="N85">
        <v>8</v>
      </c>
      <c r="O85">
        <f t="shared" si="9"/>
        <v>3</v>
      </c>
      <c r="P85">
        <f t="shared" si="10"/>
        <v>2</v>
      </c>
      <c r="Q85" s="11">
        <v>49.000000953674316</v>
      </c>
      <c r="R85">
        <v>36.000001430511475</v>
      </c>
      <c r="S85">
        <v>62.999999523162842</v>
      </c>
      <c r="T85">
        <f t="shared" si="11"/>
        <v>12.999999523162842</v>
      </c>
      <c r="U85">
        <f t="shared" si="12"/>
        <v>13.999998569488525</v>
      </c>
      <c r="V85">
        <f>IF('LL Revascularisation Summary'!$P$3=2, Q85, IF('LL Revascularisation Summary'!$P$3=1,L85))</f>
        <v>49.000000953674316</v>
      </c>
      <c r="W85" s="11">
        <f>IF('LL Revascularisation Summary'!$P$3=2, U85, IF('LL Revascularisation Summary'!$P$3=1,P85))</f>
        <v>13.999998569488525</v>
      </c>
      <c r="X85" s="11">
        <f>IF('LL Revascularisation Summary'!$P$3=2, T85, IF('LL Revascularisation Summary'!$P$3=1,O85))</f>
        <v>12.999999523162842</v>
      </c>
      <c r="Y85" s="59">
        <f t="shared" si="13"/>
        <v>0.51315789473684215</v>
      </c>
      <c r="Z85" s="59">
        <f t="shared" si="14"/>
        <v>4.6052631578947366E-2</v>
      </c>
      <c r="AA85" s="59">
        <f t="shared" si="15"/>
        <v>0.44078947368421051</v>
      </c>
      <c r="AB85">
        <v>1</v>
      </c>
    </row>
    <row r="86" spans="1:28" x14ac:dyDescent="0.25">
      <c r="A86" t="s">
        <v>501</v>
      </c>
      <c r="B86" t="s">
        <v>502</v>
      </c>
      <c r="C86" s="124">
        <v>14</v>
      </c>
      <c r="D86" s="125" t="s">
        <v>584</v>
      </c>
      <c r="E86" s="126">
        <v>0.5</v>
      </c>
      <c r="F86" s="7">
        <v>54</v>
      </c>
      <c r="G86" s="7">
        <v>6</v>
      </c>
      <c r="H86" s="7">
        <v>0</v>
      </c>
      <c r="I86" s="127">
        <v>60</v>
      </c>
      <c r="J86" t="str">
        <f t="shared" si="8"/>
        <v>R0D</v>
      </c>
      <c r="K86">
        <v>41</v>
      </c>
      <c r="L86" s="11">
        <v>6</v>
      </c>
      <c r="M86">
        <v>2</v>
      </c>
      <c r="N86">
        <v>7</v>
      </c>
      <c r="O86">
        <f t="shared" si="9"/>
        <v>4</v>
      </c>
      <c r="P86">
        <f t="shared" si="10"/>
        <v>1</v>
      </c>
      <c r="Q86" s="11">
        <v>50</v>
      </c>
      <c r="R86">
        <v>23.000000417232513</v>
      </c>
      <c r="S86">
        <v>76.999998092651367</v>
      </c>
      <c r="T86">
        <f t="shared" si="11"/>
        <v>26.999999582767487</v>
      </c>
      <c r="U86">
        <f t="shared" si="12"/>
        <v>26.999998092651367</v>
      </c>
      <c r="V86">
        <f>IF('LL Revascularisation Summary'!$P$3=2, Q86, IF('LL Revascularisation Summary'!$P$3=1,L86))</f>
        <v>50</v>
      </c>
      <c r="W86" s="11">
        <f>IF('LL Revascularisation Summary'!$P$3=2, U86, IF('LL Revascularisation Summary'!$P$3=1,P86))</f>
        <v>26.999998092651367</v>
      </c>
      <c r="X86" s="11">
        <f>IF('LL Revascularisation Summary'!$P$3=2, T86, IF('LL Revascularisation Summary'!$P$3=1,O86))</f>
        <v>26.999999582767487</v>
      </c>
      <c r="Y86" s="59">
        <f t="shared" si="13"/>
        <v>0.9</v>
      </c>
      <c r="Z86" s="59">
        <f t="shared" si="14"/>
        <v>0.1</v>
      </c>
      <c r="AA86" s="59">
        <f t="shared" si="15"/>
        <v>0</v>
      </c>
      <c r="AB86">
        <v>1</v>
      </c>
    </row>
    <row r="87" spans="1:28" x14ac:dyDescent="0.25">
      <c r="A87" t="s">
        <v>95</v>
      </c>
      <c r="B87" t="s">
        <v>285</v>
      </c>
      <c r="C87" s="124">
        <v>79</v>
      </c>
      <c r="D87" s="125" t="s">
        <v>721</v>
      </c>
      <c r="E87" s="126">
        <v>0.37000000476837158</v>
      </c>
      <c r="F87" s="7">
        <v>61</v>
      </c>
      <c r="G87" s="7">
        <v>31</v>
      </c>
      <c r="H87" s="7">
        <v>276</v>
      </c>
      <c r="I87" s="127">
        <v>368</v>
      </c>
      <c r="J87" t="str">
        <f t="shared" si="8"/>
        <v>RTG</v>
      </c>
      <c r="K87">
        <v>55</v>
      </c>
      <c r="L87" s="11">
        <v>7</v>
      </c>
      <c r="M87">
        <v>4</v>
      </c>
      <c r="N87">
        <v>14</v>
      </c>
      <c r="O87">
        <f t="shared" si="9"/>
        <v>3</v>
      </c>
      <c r="P87">
        <f t="shared" si="10"/>
        <v>7</v>
      </c>
      <c r="Q87" s="11">
        <v>37.000000476837158</v>
      </c>
      <c r="R87">
        <v>25.999999046325684</v>
      </c>
      <c r="S87">
        <v>47.999998927116394</v>
      </c>
      <c r="T87">
        <f t="shared" si="11"/>
        <v>11.000001430511475</v>
      </c>
      <c r="U87">
        <f t="shared" si="12"/>
        <v>10.999998450279236</v>
      </c>
      <c r="V87">
        <f>IF('LL Revascularisation Summary'!$P$3=2, Q87, IF('LL Revascularisation Summary'!$P$3=1,L87))</f>
        <v>37.000000476837158</v>
      </c>
      <c r="W87" s="11">
        <f>IF('LL Revascularisation Summary'!$P$3=2, U87, IF('LL Revascularisation Summary'!$P$3=1,P87))</f>
        <v>10.999998450279236</v>
      </c>
      <c r="X87" s="11">
        <f>IF('LL Revascularisation Summary'!$P$3=2, T87, IF('LL Revascularisation Summary'!$P$3=1,O87))</f>
        <v>11.000001430511475</v>
      </c>
      <c r="Y87" s="59">
        <f t="shared" si="13"/>
        <v>0.16576086956521738</v>
      </c>
      <c r="Z87" s="59">
        <f t="shared" si="14"/>
        <v>8.4239130434782608E-2</v>
      </c>
      <c r="AA87" s="59">
        <f t="shared" si="15"/>
        <v>0.75</v>
      </c>
      <c r="AB87">
        <v>1</v>
      </c>
    </row>
    <row r="88" spans="1:28" x14ac:dyDescent="0.25">
      <c r="A88" t="s">
        <v>109</v>
      </c>
      <c r="B88" t="s">
        <v>110</v>
      </c>
      <c r="C88" s="124">
        <v>109</v>
      </c>
      <c r="D88" s="125" t="s">
        <v>589</v>
      </c>
      <c r="E88" s="126">
        <v>0.61000001430511475</v>
      </c>
      <c r="F88" s="7">
        <v>54</v>
      </c>
      <c r="G88" s="7">
        <v>90</v>
      </c>
      <c r="H88" s="7">
        <v>207</v>
      </c>
      <c r="I88" s="127">
        <v>351</v>
      </c>
      <c r="J88" t="str">
        <f t="shared" si="8"/>
        <v>RWE</v>
      </c>
      <c r="K88">
        <v>25</v>
      </c>
      <c r="L88" s="11">
        <v>3</v>
      </c>
      <c r="M88">
        <v>0</v>
      </c>
      <c r="N88">
        <v>8</v>
      </c>
      <c r="O88">
        <f t="shared" si="9"/>
        <v>3</v>
      </c>
      <c r="P88">
        <f t="shared" si="10"/>
        <v>5</v>
      </c>
      <c r="Q88" s="11">
        <v>61.000001430511475</v>
      </c>
      <c r="R88">
        <v>51.999998092651367</v>
      </c>
      <c r="S88">
        <v>70.999997854232788</v>
      </c>
      <c r="T88">
        <f t="shared" si="11"/>
        <v>9.0000033378601074</v>
      </c>
      <c r="U88">
        <f t="shared" si="12"/>
        <v>9.9999964237213135</v>
      </c>
      <c r="V88">
        <f>IF('LL Revascularisation Summary'!$P$3=2, Q88, IF('LL Revascularisation Summary'!$P$3=1,L88))</f>
        <v>61.000001430511475</v>
      </c>
      <c r="W88" s="11">
        <f>IF('LL Revascularisation Summary'!$P$3=2, U88, IF('LL Revascularisation Summary'!$P$3=1,P88))</f>
        <v>9.9999964237213135</v>
      </c>
      <c r="X88" s="11">
        <f>IF('LL Revascularisation Summary'!$P$3=2, T88, IF('LL Revascularisation Summary'!$P$3=1,O88))</f>
        <v>9.0000033378601074</v>
      </c>
      <c r="Y88" s="59">
        <f t="shared" si="13"/>
        <v>0.15384615384615385</v>
      </c>
      <c r="Z88" s="59">
        <f t="shared" si="14"/>
        <v>0.25641025641025639</v>
      </c>
      <c r="AA88" s="59">
        <f t="shared" si="15"/>
        <v>0.58974358974358976</v>
      </c>
      <c r="AB88">
        <v>1</v>
      </c>
    </row>
    <row r="89" spans="1:28" x14ac:dyDescent="0.25">
      <c r="A89" t="s">
        <v>60</v>
      </c>
      <c r="B89" t="s">
        <v>169</v>
      </c>
      <c r="C89" s="124">
        <v>11</v>
      </c>
      <c r="D89" s="125" t="s">
        <v>722</v>
      </c>
      <c r="E89" s="126">
        <v>0.44999998807907104</v>
      </c>
      <c r="F89" s="7">
        <v>43</v>
      </c>
      <c r="G89" s="7">
        <v>1</v>
      </c>
      <c r="H89" s="7">
        <v>0</v>
      </c>
      <c r="I89" s="127">
        <v>44</v>
      </c>
      <c r="J89" t="str">
        <f t="shared" si="8"/>
        <v>RK9</v>
      </c>
      <c r="K89">
        <v>46</v>
      </c>
      <c r="L89" s="11">
        <v>7</v>
      </c>
      <c r="M89">
        <v>0</v>
      </c>
      <c r="N89">
        <v>9</v>
      </c>
      <c r="O89">
        <f t="shared" si="9"/>
        <v>7</v>
      </c>
      <c r="P89">
        <f t="shared" si="10"/>
        <v>2</v>
      </c>
      <c r="Q89" s="11">
        <v>44.999998807907104</v>
      </c>
      <c r="R89">
        <v>17.000000178813934</v>
      </c>
      <c r="S89">
        <v>76.999998092651367</v>
      </c>
      <c r="T89">
        <f t="shared" si="11"/>
        <v>27.99999862909317</v>
      </c>
      <c r="U89">
        <f t="shared" si="12"/>
        <v>31.999999284744263</v>
      </c>
      <c r="V89">
        <f>IF('LL Revascularisation Summary'!$P$3=2, Q89, IF('LL Revascularisation Summary'!$P$3=1,L89))</f>
        <v>44.999998807907104</v>
      </c>
      <c r="W89" s="11">
        <f>IF('LL Revascularisation Summary'!$P$3=2, U89, IF('LL Revascularisation Summary'!$P$3=1,P89))</f>
        <v>31.999999284744263</v>
      </c>
      <c r="X89" s="11">
        <f>IF('LL Revascularisation Summary'!$P$3=2, T89, IF('LL Revascularisation Summary'!$P$3=1,O89))</f>
        <v>27.99999862909317</v>
      </c>
      <c r="Y89" s="59">
        <f t="shared" si="13"/>
        <v>0.97727272727272729</v>
      </c>
      <c r="Z89" s="59">
        <f t="shared" si="14"/>
        <v>2.2727272727272728E-2</v>
      </c>
      <c r="AA89" s="59">
        <f t="shared" si="15"/>
        <v>0</v>
      </c>
      <c r="AB89">
        <v>1</v>
      </c>
    </row>
    <row r="90" spans="1:28" x14ac:dyDescent="0.25">
      <c r="A90" t="s">
        <v>111</v>
      </c>
      <c r="B90" t="s">
        <v>723</v>
      </c>
      <c r="C90" s="124">
        <v>13</v>
      </c>
      <c r="D90" s="125" t="s">
        <v>274</v>
      </c>
      <c r="E90" s="126">
        <v>0.54000002145767212</v>
      </c>
      <c r="F90" s="7">
        <v>37</v>
      </c>
      <c r="G90" s="7">
        <v>9</v>
      </c>
      <c r="H90" s="7">
        <v>8</v>
      </c>
      <c r="I90" s="127">
        <v>54</v>
      </c>
      <c r="J90" t="str">
        <f t="shared" si="8"/>
        <v>RWG</v>
      </c>
      <c r="K90">
        <v>34</v>
      </c>
      <c r="L90" s="11">
        <v>5</v>
      </c>
      <c r="M90">
        <v>2</v>
      </c>
      <c r="N90">
        <v>9</v>
      </c>
      <c r="O90">
        <f t="shared" si="9"/>
        <v>3</v>
      </c>
      <c r="P90">
        <f t="shared" si="10"/>
        <v>4</v>
      </c>
      <c r="Q90" s="11">
        <v>54.000002145767212</v>
      </c>
      <c r="R90">
        <v>25</v>
      </c>
      <c r="S90">
        <v>81.000000238418579</v>
      </c>
      <c r="T90">
        <f t="shared" si="11"/>
        <v>29.000002145767212</v>
      </c>
      <c r="U90">
        <f t="shared" si="12"/>
        <v>26.999998092651367</v>
      </c>
      <c r="V90">
        <f>IF('LL Revascularisation Summary'!$P$3=2, Q90, IF('LL Revascularisation Summary'!$P$3=1,L90))</f>
        <v>54.000002145767212</v>
      </c>
      <c r="W90" s="11">
        <f>IF('LL Revascularisation Summary'!$P$3=2, U90, IF('LL Revascularisation Summary'!$P$3=1,P90))</f>
        <v>26.999998092651367</v>
      </c>
      <c r="X90" s="11">
        <f>IF('LL Revascularisation Summary'!$P$3=2, T90, IF('LL Revascularisation Summary'!$P$3=1,O90))</f>
        <v>29.000002145767212</v>
      </c>
      <c r="Y90" s="59">
        <f t="shared" si="13"/>
        <v>0.68518518518518523</v>
      </c>
      <c r="Z90" s="59">
        <f t="shared" si="14"/>
        <v>0.16666666666666666</v>
      </c>
      <c r="AA90" s="59">
        <f t="shared" si="15"/>
        <v>0.14814814814814814</v>
      </c>
      <c r="AB90">
        <v>1</v>
      </c>
    </row>
    <row r="91" spans="1:28" x14ac:dyDescent="0.25">
      <c r="A91" t="s">
        <v>38</v>
      </c>
      <c r="B91" t="s">
        <v>39</v>
      </c>
      <c r="C91" s="124">
        <v>0</v>
      </c>
      <c r="D91" s="125" t="s">
        <v>276</v>
      </c>
      <c r="E91" s="129" t="s">
        <v>276</v>
      </c>
      <c r="F91" s="7" t="s">
        <v>284</v>
      </c>
      <c r="G91" s="7" t="s">
        <v>284</v>
      </c>
      <c r="H91" s="7" t="s">
        <v>284</v>
      </c>
      <c r="I91" s="127" t="s">
        <v>284</v>
      </c>
      <c r="J91" t="str">
        <f t="shared" si="8"/>
        <v>RGR</v>
      </c>
      <c r="K91">
        <v>93</v>
      </c>
      <c r="L91" t="s">
        <v>859</v>
      </c>
      <c r="M91" t="e">
        <v>#VALUE!</v>
      </c>
      <c r="N91" t="e">
        <v>#VALUE!</v>
      </c>
      <c r="O91" t="e">
        <f t="shared" si="9"/>
        <v>#VALUE!</v>
      </c>
      <c r="P91" t="e">
        <f t="shared" si="10"/>
        <v>#VALUE!</v>
      </c>
      <c r="Q91" s="11" t="e">
        <v>#VALUE!</v>
      </c>
      <c r="R91" t="e">
        <v>#VALUE!</v>
      </c>
      <c r="S91" t="e">
        <v>#VALUE!</v>
      </c>
      <c r="T91" t="e">
        <f t="shared" si="11"/>
        <v>#VALUE!</v>
      </c>
      <c r="U91" t="e">
        <f t="shared" si="12"/>
        <v>#VALUE!</v>
      </c>
      <c r="V91" t="e">
        <f>IF('LL Revascularisation Summary'!$P$3=2, Q91, IF('LL Revascularisation Summary'!$P$3=1,L91))</f>
        <v>#VALUE!</v>
      </c>
      <c r="W91" s="11" t="e">
        <f>IF('LL Revascularisation Summary'!$P$3=2, U91, IF('LL Revascularisation Summary'!$P$3=1,P91))</f>
        <v>#VALUE!</v>
      </c>
      <c r="X91" s="11" t="e">
        <f>IF('LL Revascularisation Summary'!$P$3=2, T91, IF('LL Revascularisation Summary'!$P$3=1,O91))</f>
        <v>#VALUE!</v>
      </c>
      <c r="Y91" s="59" t="e">
        <f t="shared" si="13"/>
        <v>#VALUE!</v>
      </c>
      <c r="Z91" s="59" t="e">
        <f t="shared" si="14"/>
        <v>#VALUE!</v>
      </c>
      <c r="AA91" s="59" t="e">
        <f t="shared" si="15"/>
        <v>#VALUE!</v>
      </c>
      <c r="AB91">
        <v>0</v>
      </c>
    </row>
    <row r="92" spans="1:28" x14ac:dyDescent="0.25">
      <c r="A92" t="s">
        <v>115</v>
      </c>
      <c r="B92" t="s">
        <v>116</v>
      </c>
      <c r="C92" s="124">
        <v>76</v>
      </c>
      <c r="D92" s="125" t="s">
        <v>246</v>
      </c>
      <c r="E92" s="126">
        <v>0.38999998569488525</v>
      </c>
      <c r="F92" s="7">
        <v>93</v>
      </c>
      <c r="G92" s="7">
        <v>27</v>
      </c>
      <c r="H92" s="7">
        <v>136</v>
      </c>
      <c r="I92" s="127">
        <v>256</v>
      </c>
      <c r="J92" t="str">
        <f t="shared" si="8"/>
        <v>RWP</v>
      </c>
      <c r="K92">
        <v>52</v>
      </c>
      <c r="L92" s="11">
        <v>6</v>
      </c>
      <c r="M92">
        <v>3</v>
      </c>
      <c r="N92">
        <v>10</v>
      </c>
      <c r="O92">
        <f t="shared" si="9"/>
        <v>3</v>
      </c>
      <c r="P92">
        <f t="shared" si="10"/>
        <v>4</v>
      </c>
      <c r="Q92" s="11">
        <v>38.999998569488525</v>
      </c>
      <c r="R92">
        <v>28.00000011920929</v>
      </c>
      <c r="S92">
        <v>50.999999046325684</v>
      </c>
      <c r="T92">
        <f t="shared" si="11"/>
        <v>10.999998450279236</v>
      </c>
      <c r="U92">
        <f t="shared" si="12"/>
        <v>12.000000476837158</v>
      </c>
      <c r="V92">
        <f>IF('LL Revascularisation Summary'!$P$3=2, Q92, IF('LL Revascularisation Summary'!$P$3=1,L92))</f>
        <v>38.999998569488525</v>
      </c>
      <c r="W92" s="11">
        <f>IF('LL Revascularisation Summary'!$P$3=2, U92, IF('LL Revascularisation Summary'!$P$3=1,P92))</f>
        <v>12.000000476837158</v>
      </c>
      <c r="X92" s="11">
        <f>IF('LL Revascularisation Summary'!$P$3=2, T92, IF('LL Revascularisation Summary'!$P$3=1,O92))</f>
        <v>10.999998450279236</v>
      </c>
      <c r="Y92" s="59">
        <f t="shared" si="13"/>
        <v>0.36328125</v>
      </c>
      <c r="Z92" s="59">
        <f t="shared" si="14"/>
        <v>0.10546875</v>
      </c>
      <c r="AA92" s="59">
        <f t="shared" si="15"/>
        <v>0.53125</v>
      </c>
      <c r="AB92">
        <v>1</v>
      </c>
    </row>
    <row r="93" spans="1:28" x14ac:dyDescent="0.25">
      <c r="A93" t="s">
        <v>367</v>
      </c>
      <c r="B93" t="s">
        <v>368</v>
      </c>
      <c r="C93" s="124" t="s">
        <v>369</v>
      </c>
      <c r="D93" s="125" t="s">
        <v>284</v>
      </c>
      <c r="E93" s="126" t="s">
        <v>284</v>
      </c>
      <c r="F93" s="7" t="s">
        <v>284</v>
      </c>
      <c r="G93" s="7" t="s">
        <v>284</v>
      </c>
      <c r="H93" s="7" t="s">
        <v>284</v>
      </c>
      <c r="I93" s="127" t="s">
        <v>284</v>
      </c>
      <c r="J93" t="str">
        <f t="shared" si="8"/>
        <v>RRF</v>
      </c>
      <c r="K93">
        <v>70</v>
      </c>
      <c r="L93" t="s">
        <v>284</v>
      </c>
      <c r="M93" t="e">
        <v>#VALUE!</v>
      </c>
      <c r="N93" t="e">
        <v>#VALUE!</v>
      </c>
      <c r="O93" t="e">
        <f t="shared" si="9"/>
        <v>#VALUE!</v>
      </c>
      <c r="P93" t="e">
        <f t="shared" si="10"/>
        <v>#VALUE!</v>
      </c>
      <c r="Q93" s="11" t="e">
        <v>#VALUE!</v>
      </c>
      <c r="R93" s="11" t="e">
        <v>#VALUE!</v>
      </c>
      <c r="S93" s="11" t="e">
        <v>#VALUE!</v>
      </c>
      <c r="T93" t="e">
        <f t="shared" si="11"/>
        <v>#VALUE!</v>
      </c>
      <c r="U93" t="e">
        <f t="shared" si="12"/>
        <v>#VALUE!</v>
      </c>
      <c r="V93" t="e">
        <f>IF('LL Revascularisation Summary'!$P$3=2, Q93, IF('LL Revascularisation Summary'!$P$3=1,L93))</f>
        <v>#VALUE!</v>
      </c>
      <c r="W93" s="11" t="e">
        <f>IF('LL Revascularisation Summary'!$P$3=2, U93, IF('LL Revascularisation Summary'!$P$3=1,P93))</f>
        <v>#VALUE!</v>
      </c>
      <c r="X93" s="11" t="e">
        <f>IF('LL Revascularisation Summary'!$P$3=2, T93, IF('LL Revascularisation Summary'!$P$3=1,O93))</f>
        <v>#VALUE!</v>
      </c>
      <c r="Y93" s="59" t="e">
        <f t="shared" si="13"/>
        <v>#VALUE!</v>
      </c>
      <c r="Z93" s="59" t="e">
        <f t="shared" si="14"/>
        <v>#VALUE!</v>
      </c>
      <c r="AA93" s="59" t="e">
        <f t="shared" si="15"/>
        <v>#VALUE!</v>
      </c>
      <c r="AB93">
        <v>0</v>
      </c>
    </row>
    <row r="94" spans="1:28" x14ac:dyDescent="0.25">
      <c r="A94" t="s">
        <v>25</v>
      </c>
      <c r="B94" t="s">
        <v>26</v>
      </c>
      <c r="C94" s="133">
        <v>129</v>
      </c>
      <c r="D94" s="134" t="s">
        <v>230</v>
      </c>
      <c r="E94" s="135">
        <v>0.75999999046325684</v>
      </c>
      <c r="F94" s="136">
        <v>127</v>
      </c>
      <c r="G94" s="137">
        <v>8</v>
      </c>
      <c r="H94" s="137">
        <v>294</v>
      </c>
      <c r="I94" s="138">
        <v>429</v>
      </c>
      <c r="J94" t="str">
        <f t="shared" si="8"/>
        <v>RCB</v>
      </c>
      <c r="K94">
        <v>7</v>
      </c>
      <c r="L94" s="11">
        <v>2</v>
      </c>
      <c r="M94">
        <v>1</v>
      </c>
      <c r="N94">
        <v>5</v>
      </c>
      <c r="O94">
        <f t="shared" si="9"/>
        <v>1</v>
      </c>
      <c r="P94">
        <f t="shared" si="10"/>
        <v>3</v>
      </c>
      <c r="Q94" s="11">
        <v>75.999999046325684</v>
      </c>
      <c r="R94">
        <v>68.000000715255737</v>
      </c>
      <c r="S94">
        <v>82.999998331069946</v>
      </c>
      <c r="T94">
        <f t="shared" si="11"/>
        <v>7.9999983310699463</v>
      </c>
      <c r="U94">
        <f t="shared" si="12"/>
        <v>6.9999992847442627</v>
      </c>
      <c r="V94">
        <f>IF('LL Revascularisation Summary'!$P$3=2, Q94, IF('LL Revascularisation Summary'!$P$3=1,L94))</f>
        <v>75.999999046325684</v>
      </c>
      <c r="W94" s="11">
        <f>IF('LL Revascularisation Summary'!$P$3=2, U94, IF('LL Revascularisation Summary'!$P$3=1,P94))</f>
        <v>6.9999992847442627</v>
      </c>
      <c r="X94" s="11">
        <f>IF('LL Revascularisation Summary'!$P$3=2, T94, IF('LL Revascularisation Summary'!$P$3=1,O94))</f>
        <v>7.9999983310699463</v>
      </c>
      <c r="Y94" s="59">
        <f t="shared" si="13"/>
        <v>0.29603729603729606</v>
      </c>
      <c r="Z94" s="59">
        <f t="shared" si="14"/>
        <v>1.8648018648018648E-2</v>
      </c>
      <c r="AA94" s="59">
        <f t="shared" si="15"/>
        <v>0.68531468531468531</v>
      </c>
      <c r="AB94">
        <v>1</v>
      </c>
    </row>
  </sheetData>
  <autoFilter ref="J1:AB8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5.140625" bestFit="1" customWidth="1"/>
    <col min="5" max="5" width="9.7109375" bestFit="1" customWidth="1"/>
    <col min="6" max="6" width="12.7109375" customWidth="1"/>
    <col min="7" max="7" width="10.85546875" customWidth="1"/>
    <col min="10" max="10" width="12.85546875" customWidth="1"/>
    <col min="11" max="11" width="13.7109375" bestFit="1" customWidth="1"/>
    <col min="17" max="17" width="9.140625" style="49"/>
    <col min="18" max="18" width="33.140625" style="188" bestFit="1" customWidth="1"/>
    <col min="19" max="49" width="9.140625" style="188"/>
    <col min="50" max="55" width="9.140625" style="49"/>
  </cols>
  <sheetData>
    <row r="1" spans="1:30" ht="30.75" customHeight="1" x14ac:dyDescent="0.25">
      <c r="A1" s="14" t="s">
        <v>286</v>
      </c>
      <c r="B1" s="15" t="s">
        <v>7</v>
      </c>
      <c r="AA1" s="188" t="s">
        <v>570</v>
      </c>
      <c r="AB1" s="188" t="s">
        <v>905</v>
      </c>
      <c r="AC1" s="188" t="s">
        <v>577</v>
      </c>
      <c r="AD1" s="188" t="s">
        <v>578</v>
      </c>
    </row>
    <row r="2" spans="1:30" x14ac:dyDescent="0.25">
      <c r="AA2" s="188">
        <f>VLOOKUP($B$1,'Lower Limb Angioplasty'!$B:$R,13,FALSE)</f>
        <v>15</v>
      </c>
      <c r="AB2" s="207">
        <f>VLOOKUP($B$1,'Lower Limb Angioplasty'!$B:$R,10,FALSE)</f>
        <v>0.44</v>
      </c>
      <c r="AC2" s="207">
        <f>VLOOKUP($B$1,'Lower Limb Angioplasty'!$B:$R,16,FALSE)</f>
        <v>0.15999999880790711</v>
      </c>
      <c r="AD2" s="207">
        <f>VLOOKUP($B$1,'Lower Limb Angioplasty'!$B:$R,17,FALSE)</f>
        <v>0.18000000476837158</v>
      </c>
    </row>
    <row r="28" spans="2:9" ht="15.75" thickBot="1" x14ac:dyDescent="0.3"/>
    <row r="29" spans="2:9" ht="105.75" thickBot="1" x14ac:dyDescent="0.3">
      <c r="B29" s="16" t="s">
        <v>149</v>
      </c>
      <c r="C29" s="16" t="s">
        <v>150</v>
      </c>
      <c r="D29" s="36" t="s">
        <v>894</v>
      </c>
      <c r="E29" s="36" t="s">
        <v>895</v>
      </c>
      <c r="F29" s="37" t="s">
        <v>896</v>
      </c>
      <c r="G29" s="16" t="s">
        <v>897</v>
      </c>
      <c r="H29" s="36" t="s">
        <v>898</v>
      </c>
      <c r="I29" s="37" t="s">
        <v>899</v>
      </c>
    </row>
    <row r="30" spans="2:9" ht="15.75" thickBot="1" x14ac:dyDescent="0.3">
      <c r="B30" s="18" t="str">
        <f>B1</f>
        <v>Aneurin Bevan University Health Board</v>
      </c>
      <c r="C30" s="20" t="str">
        <f>VLOOKUP($B30,'Lower Limb Angioplasty'!$B:$M,12,FALSE)</f>
        <v>7A6</v>
      </c>
      <c r="D30" s="20">
        <f>VLOOKUP($B30,'Lower Limb Angioplasty'!$B:$M,5,FALSE)</f>
        <v>63</v>
      </c>
      <c r="E30" s="20">
        <f>VLOOKUP($B30,'Lower Limb Angioplasty'!$B:$M,2,FALSE)</f>
        <v>73</v>
      </c>
      <c r="F30" s="21">
        <f>VLOOKUP($B30,'Lower Limb Angioplasty'!$B:$M,10,FALSE)</f>
        <v>0.44</v>
      </c>
      <c r="G30" s="19" t="str">
        <f>VLOOKUP($B30,'Lower Limb Angioplasty'!$B:$M,6,FALSE)</f>
        <v>3 (0 - 10)</v>
      </c>
      <c r="H30" s="22">
        <f>VLOOKUP($B30,'Lower Limb Angioplasty'!$B:$M,11,FALSE)</f>
        <v>1.2E-2</v>
      </c>
      <c r="I30" s="21">
        <f>VLOOKUP($B30,'Lower Limb Angioplasty'!$B:$M,8,FALSE)</f>
        <v>0.27</v>
      </c>
    </row>
    <row r="31" spans="2:9" ht="15.75" thickBot="1" x14ac:dyDescent="0.3">
      <c r="B31" s="212" t="s">
        <v>287</v>
      </c>
      <c r="C31" s="212"/>
      <c r="D31" s="40">
        <v>6509</v>
      </c>
      <c r="E31" s="40">
        <v>21816</v>
      </c>
      <c r="F31" s="86">
        <v>0.6</v>
      </c>
      <c r="G31" s="175" t="s">
        <v>229</v>
      </c>
      <c r="H31" s="98">
        <v>1.7999999999999999E-2</v>
      </c>
      <c r="I31" s="99">
        <v>0.125</v>
      </c>
    </row>
  </sheetData>
  <mergeCells count="1">
    <mergeCell ref="B31:C31"/>
  </mergeCells>
  <pageMargins left="0.7" right="0.7" top="0.75" bottom="0.75" header="0.3" footer="0.3"/>
  <pageSetup paperSize="9" orientation="landscape" r:id="rId1"/>
  <ignoredErrors>
    <ignoredError sqref="F3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'Lower Limb Angioplasty'!$B$2:$B$94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71.5703125" bestFit="1" customWidth="1"/>
    <col min="3" max="8" width="15.7109375" customWidth="1"/>
    <col min="9" max="10" width="15.7109375" style="188" customWidth="1"/>
    <col min="11" max="14" width="9.140625" style="188"/>
    <col min="15" max="15" width="37.28515625" style="188" customWidth="1"/>
    <col min="16" max="24" width="9.140625" style="188"/>
    <col min="25" max="33" width="9.140625" style="49"/>
  </cols>
  <sheetData>
    <row r="1" spans="1:8" ht="30.75" customHeight="1" thickBot="1" x14ac:dyDescent="0.3">
      <c r="A1" s="14" t="s">
        <v>286</v>
      </c>
      <c r="B1" s="15" t="s">
        <v>7</v>
      </c>
    </row>
    <row r="2" spans="1:8" ht="15.75" thickBot="1" x14ac:dyDescent="0.3"/>
    <row r="3" spans="1:8" ht="60.75" thickBot="1" x14ac:dyDescent="0.3">
      <c r="B3" s="16" t="s">
        <v>149</v>
      </c>
      <c r="C3" s="16" t="s">
        <v>150</v>
      </c>
      <c r="D3" s="36" t="s">
        <v>894</v>
      </c>
      <c r="E3" s="36" t="s">
        <v>895</v>
      </c>
      <c r="F3" s="16" t="s">
        <v>897</v>
      </c>
      <c r="G3" s="36" t="s">
        <v>945</v>
      </c>
      <c r="H3" s="37" t="s">
        <v>899</v>
      </c>
    </row>
    <row r="4" spans="1:8" ht="15.75" thickBot="1" x14ac:dyDescent="0.3">
      <c r="B4" s="18" t="str">
        <f>B1</f>
        <v>Aneurin Bevan University Health Board</v>
      </c>
      <c r="C4" s="38" t="str">
        <f>VLOOKUP($B4,'Lower Limb Bypass'!$B:$K,10,FALSE)</f>
        <v>7A6</v>
      </c>
      <c r="D4" s="38">
        <f>VLOOKUP($B4,'Lower Limb Bypass'!$B:$K,5,FALSE)</f>
        <v>88</v>
      </c>
      <c r="E4" s="38">
        <f>VLOOKUP($B4,'Lower Limb Bypass'!$B:$K,2,FALSE)</f>
        <v>198</v>
      </c>
      <c r="F4" s="19" t="str">
        <f>VLOOKUP($B4,'Lower Limb Bypass'!$B:$K,6,FALSE)</f>
        <v>6 (3 - 12)</v>
      </c>
      <c r="G4" s="39">
        <f>VLOOKUP($B4,'Lower Limb Bypass'!$B:$K,9,FALSE)</f>
        <v>3.2000000000000001E-2</v>
      </c>
      <c r="H4" s="41">
        <f>VLOOKUP($B4,'Lower Limb Bypass'!$B:$K,8,FALSE)</f>
        <v>0.14000000000000001</v>
      </c>
    </row>
    <row r="5" spans="1:8" ht="15.75" thickBot="1" x14ac:dyDescent="0.3">
      <c r="B5" s="212" t="s">
        <v>287</v>
      </c>
      <c r="C5" s="212"/>
      <c r="D5" s="78">
        <v>5817</v>
      </c>
      <c r="E5" s="78">
        <v>17700</v>
      </c>
      <c r="F5" s="176" t="s">
        <v>921</v>
      </c>
      <c r="G5" s="39">
        <v>1.7999999999999999E-2</v>
      </c>
      <c r="H5" s="98">
        <v>0.115</v>
      </c>
    </row>
  </sheetData>
  <mergeCells count="1">
    <mergeCell ref="B5:C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'Lower Limb Bypass'!$B$2:$B$71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10.140625" customWidth="1"/>
    <col min="2" max="2" width="53.140625" bestFit="1" customWidth="1"/>
    <col min="3" max="10" width="19.85546875" customWidth="1"/>
    <col min="13" max="13" width="5.85546875" customWidth="1"/>
    <col min="14" max="14" width="3.28515625" customWidth="1"/>
    <col min="15" max="15" width="26.28515625" style="188" customWidth="1"/>
    <col min="16" max="16" width="10" style="188" customWidth="1"/>
    <col min="17" max="17" width="38.5703125" style="188" bestFit="1" customWidth="1"/>
    <col min="18" max="27" width="9.140625" style="188"/>
    <col min="28" max="28" width="10.7109375" style="188" customWidth="1"/>
    <col min="29" max="29" width="12.140625" style="188" customWidth="1"/>
    <col min="30" max="61" width="9.140625" style="188"/>
    <col min="62" max="67" width="9.140625" style="26"/>
  </cols>
  <sheetData>
    <row r="1" spans="1:30" ht="30.75" customHeight="1" x14ac:dyDescent="0.25">
      <c r="A1" s="58" t="s">
        <v>286</v>
      </c>
      <c r="B1" s="15" t="s">
        <v>7</v>
      </c>
      <c r="AA1" s="189" t="s">
        <v>560</v>
      </c>
      <c r="AB1" s="198" t="s">
        <v>561</v>
      </c>
      <c r="AC1" s="198" t="s">
        <v>562</v>
      </c>
      <c r="AD1" s="199" t="s">
        <v>563</v>
      </c>
    </row>
    <row r="2" spans="1:30" ht="15.75" x14ac:dyDescent="0.25">
      <c r="E2" s="28" t="s">
        <v>312</v>
      </c>
      <c r="F2" s="213" t="s">
        <v>844</v>
      </c>
      <c r="G2" s="213"/>
      <c r="H2" s="213"/>
      <c r="I2" s="213"/>
      <c r="J2" s="213"/>
      <c r="AA2" s="188">
        <f>VLOOKUP($B$1,'Major Lower Limb Amputation'!$B:$AJ,32,FALSE)</f>
        <v>8</v>
      </c>
      <c r="AB2" s="188">
        <f>VLOOKUP($B$1,'Major Lower Limb Amputation'!$B:$AJ,33,FALSE)</f>
        <v>3</v>
      </c>
      <c r="AC2" s="188">
        <f>VLOOKUP($B$1,'Major Lower Limb Amputation'!$B:$AJ,34,FALSE)</f>
        <v>3</v>
      </c>
      <c r="AD2" s="188">
        <f>VLOOKUP($B$1,'Major Lower Limb Amputation'!$B:$AJ,31,FALSE)</f>
        <v>42</v>
      </c>
    </row>
    <row r="3" spans="1:30" x14ac:dyDescent="0.25">
      <c r="AB3" s="195" t="s">
        <v>533</v>
      </c>
      <c r="AC3" s="195"/>
      <c r="AD3" s="195" t="s">
        <v>307</v>
      </c>
    </row>
    <row r="4" spans="1:30" x14ac:dyDescent="0.25">
      <c r="O4" s="188">
        <f>MATCH(F2,'Major Lower Limb Amputation'!$E$7:$F$7,0)</f>
        <v>1</v>
      </c>
      <c r="AB4" s="195">
        <f>VLOOKUP($B$1,'Major Lower Limb Amputation'!$B:$Y,24,FALSE)</f>
        <v>0.73</v>
      </c>
      <c r="AC4" s="195"/>
      <c r="AD4" s="195">
        <f>VLOOKUP($B$1,'Major Lower Limb Amputation'!$B:$Y,23,FALSE)</f>
        <v>22</v>
      </c>
    </row>
    <row r="5" spans="1:30" ht="30" x14ac:dyDescent="0.25">
      <c r="AA5" s="189" t="s">
        <v>573</v>
      </c>
      <c r="AB5" s="198" t="s">
        <v>575</v>
      </c>
      <c r="AC5" s="198" t="s">
        <v>576</v>
      </c>
      <c r="AD5" s="199" t="s">
        <v>574</v>
      </c>
    </row>
    <row r="6" spans="1:30" x14ac:dyDescent="0.25">
      <c r="AA6" s="208">
        <f>VLOOKUP($B$1,'Major Lower Limb Amputation'!$B:$AM,8,FALSE)</f>
        <v>0.68</v>
      </c>
      <c r="AB6" s="188">
        <f>VLOOKUP($B$1,'Major Lower Limb Amputation'!$B:$AM,37,FALSE)</f>
        <v>0.33000000000000007</v>
      </c>
      <c r="AC6" s="188">
        <f>VLOOKUP($B$1,'Major Lower Limb Amputation'!$B:$AM,36,FALSE)</f>
        <v>0.63</v>
      </c>
      <c r="AD6" s="188">
        <f>VLOOKUP($B$1,'Major Lower Limb Amputation'!$B:$AM,38,FALSE)</f>
        <v>12</v>
      </c>
    </row>
    <row r="8" spans="1:30" ht="60" x14ac:dyDescent="0.25">
      <c r="AA8" s="189" t="s">
        <v>847</v>
      </c>
    </row>
    <row r="9" spans="1:30" x14ac:dyDescent="0.25">
      <c r="AA9" s="188">
        <f>VLOOKUP($B$1,'Major Lower Limb Amputation'!$B:$AJ,3,FALSE)</f>
        <v>124</v>
      </c>
    </row>
    <row r="27" spans="2:15" ht="15.75" thickBot="1" x14ac:dyDescent="0.3"/>
    <row r="28" spans="2:15" ht="90.75" thickBot="1" x14ac:dyDescent="0.3">
      <c r="B28" s="16" t="s">
        <v>149</v>
      </c>
      <c r="C28" s="16" t="s">
        <v>150</v>
      </c>
      <c r="D28" s="17" t="s">
        <v>692</v>
      </c>
      <c r="E28" s="42" t="s">
        <v>693</v>
      </c>
      <c r="F28" s="16" t="s">
        <v>694</v>
      </c>
      <c r="G28" s="17" t="s">
        <v>695</v>
      </c>
      <c r="H28" s="17" t="s">
        <v>696</v>
      </c>
      <c r="I28" s="43" t="s">
        <v>697</v>
      </c>
      <c r="J28" s="17" t="s">
        <v>698</v>
      </c>
    </row>
    <row r="29" spans="2:15" ht="15.75" thickBot="1" x14ac:dyDescent="0.3">
      <c r="B29" s="18" t="str">
        <f>B1</f>
        <v>Aneurin Bevan University Health Board</v>
      </c>
      <c r="C29" s="147" t="str">
        <f>VLOOKUP($B29,'Major Lower Limb Amputation'!$B:$Y,20,FALSE)</f>
        <v>7A6</v>
      </c>
      <c r="D29" s="147">
        <f>VLOOKUP($B29,'Major Lower Limb Amputation'!$B:$Y,2,FALSE)</f>
        <v>37</v>
      </c>
      <c r="E29" s="148" t="str">
        <f>VLOOKUP($B29,'Major Lower Limb Amputation'!$B:$Y,4,FALSE)</f>
        <v>8 (5 - 11)</v>
      </c>
      <c r="F29" s="148" t="str">
        <f>VLOOKUP($B29,'Major Lower Limb Amputation'!$B:$Y,11,FALSE)</f>
        <v>11 (8 - 16)</v>
      </c>
      <c r="G29" s="149">
        <f>VLOOKUP($B29,'Major Lower Limb Amputation'!$B:$Y,8,FALSE)</f>
        <v>0.68</v>
      </c>
      <c r="H29" s="150">
        <f>VLOOKUP($B29,'Major Lower Limb Amputation'!$B:$Y,17,FALSE)</f>
        <v>0.73</v>
      </c>
      <c r="I29" s="150">
        <f>VLOOKUP($B29,'Major Lower Limb Amputation'!$B:$Y,18,FALSE)</f>
        <v>0.86</v>
      </c>
      <c r="J29" s="151">
        <f>VLOOKUP($B29,'Major Lower Limb Amputation'!$B:$Y,19,FALSE)</f>
        <v>5.2999999999999999E-2</v>
      </c>
    </row>
    <row r="30" spans="2:15" ht="15.75" thickBot="1" x14ac:dyDescent="0.3">
      <c r="B30" s="212" t="s">
        <v>287</v>
      </c>
      <c r="C30" s="212"/>
      <c r="D30" s="78">
        <v>3068</v>
      </c>
      <c r="E30" s="64" t="s">
        <v>946</v>
      </c>
      <c r="F30" s="64" t="s">
        <v>947</v>
      </c>
      <c r="G30" s="114">
        <v>1</v>
      </c>
      <c r="H30" s="101">
        <v>0.72</v>
      </c>
      <c r="I30" s="102">
        <v>0.83</v>
      </c>
      <c r="J30" s="65">
        <v>6.6000000000000003E-2</v>
      </c>
    </row>
    <row r="32" spans="2:15" ht="15.75" x14ac:dyDescent="0.25">
      <c r="J32" s="104" t="s">
        <v>312</v>
      </c>
      <c r="K32" s="215" t="s">
        <v>728</v>
      </c>
      <c r="L32" s="215"/>
      <c r="M32" s="215"/>
      <c r="N32" s="215"/>
      <c r="O32" s="215"/>
    </row>
    <row r="33" spans="17:17" x14ac:dyDescent="0.25">
      <c r="Q33" s="188">
        <f>MATCH(K32,'Major Lower Limb Amputation'!$R$7:$S$7,0)</f>
        <v>1</v>
      </c>
    </row>
  </sheetData>
  <mergeCells count="3">
    <mergeCell ref="B30:C30"/>
    <mergeCell ref="K32:O32"/>
    <mergeCell ref="F2:J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'Major Lower Limb Amputation'!$B$8:$B$76</xm:f>
          </x14:formula1>
          <xm:sqref>B1</xm:sqref>
        </x14:dataValidation>
        <x14:dataValidation type="list" allowBlank="1" showInputMessage="1" showErrorMessage="1">
          <x14:formula1>
            <xm:f>'Major Lower Limb Amputation'!$R$7:$S$7</xm:f>
          </x14:formula1>
          <xm:sqref>K32</xm:sqref>
        </x14:dataValidation>
        <x14:dataValidation type="list" allowBlank="1" showInputMessage="1" showErrorMessage="1">
          <x14:formula1>
            <xm:f>'Major Lower Limb Amputation'!$E$7:$F$7</xm:f>
          </x14:formula1>
          <xm:sqref>F2:J2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AAA Summary</vt:lpstr>
      <vt:lpstr>Elective Infra-Renal AAA Repair</vt:lpstr>
      <vt:lpstr>LL Revascularisation Summary</vt:lpstr>
      <vt:lpstr>AAA 2021 Report</vt:lpstr>
      <vt:lpstr>AAA 2020 Report</vt:lpstr>
      <vt:lpstr>LL Revasc Data</vt:lpstr>
      <vt:lpstr>Angioplasty Summary</vt:lpstr>
      <vt:lpstr>Bypass Summary</vt:lpstr>
      <vt:lpstr>Amputation Summary</vt:lpstr>
      <vt:lpstr>CEA Summary</vt:lpstr>
      <vt:lpstr>Lower Limb Bypass</vt:lpstr>
      <vt:lpstr>Lower Limb Angioplasty</vt:lpstr>
      <vt:lpstr>Major Lower Limb Amputation</vt:lpstr>
      <vt:lpstr>Amp Funnel</vt:lpstr>
      <vt:lpstr>Bypass Funnel</vt:lpstr>
      <vt:lpstr>Angio Funnel</vt:lpstr>
      <vt:lpstr>Carotid Endarterectomy</vt:lpstr>
      <vt:lpstr>CEA Limits</vt:lpstr>
      <vt:lpstr>CEA Funnel</vt:lpstr>
      <vt:lpstr>AAA Limits</vt:lpstr>
      <vt:lpstr>AAA Funnel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2019-09-16T10:41:18Z</dcterms:created>
  <dcterms:modified xsi:type="dcterms:W3CDTF">2023-04-13T10:36:51Z</dcterms:modified>
</cp:coreProperties>
</file>